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Tables/pivotTable5.xml" ContentType="application/vnd.openxmlformats-officedocument.spreadsheetml.pivot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tables/table1.xml" ContentType="application/vnd.openxmlformats-officedocument.spreadsheetml.table+xml"/>
  <Override PartName="/xl/pivotCache/pivotCacheDefinition1.xml" ContentType="application/vnd.openxmlformats-officedocument.spreadsheetml.pivotCacheDefinition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neahq.sharepoint.com/sites/NEAHBCUSummit/Shared Documents/2025 HBCU Summit/Member registration details/"/>
    </mc:Choice>
  </mc:AlternateContent>
  <xr:revisionPtr revIDLastSave="0" documentId="8_{6B855E3F-DFFF-4595-BDF6-18863E800381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Event Information" sheetId="2" r:id="rId1"/>
    <sheet name="HBCU Admission Item" sheetId="3" r:id="rId2"/>
    <sheet name="Registration Type" sheetId="4" r:id="rId3"/>
    <sheet name="Registrants - 2025 NEA HBCU Sum" sheetId="5" r:id="rId4"/>
    <sheet name="Registration By State" sheetId="6" r:id="rId5"/>
    <sheet name="Registration Trend" sheetId="7" r:id="rId6"/>
  </sheets>
  <calcPr calcId="191029"/>
  <pivotCaches>
    <pivotCache cacheId="9" r:id="rId7"/>
    <pivotCache cacheId="13" r:id="rId8"/>
    <pivotCache cacheId="17" r:id="rId9"/>
    <pivotCache cacheId="21" r:id="rId10"/>
    <pivotCache cacheId="25" r:id="rId11"/>
    <pivotCache cacheId="29" r:id="rId1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0" i="5" l="1"/>
  <c r="A229" i="5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</calcChain>
</file>

<file path=xl/sharedStrings.xml><?xml version="1.0" encoding="utf-8"?>
<sst xmlns="http://schemas.openxmlformats.org/spreadsheetml/2006/main" count="3360" uniqueCount="923">
  <si>
    <t>Back to Table of Contents</t>
  </si>
  <si>
    <t>HBCU Admission Item</t>
  </si>
  <si>
    <t>2025 NEA HBCU Registration</t>
  </si>
  <si>
    <t>Pre-Conference: UniServ Organizing on HBCU Campuses AND 2025 NEA HBCU Summit</t>
  </si>
  <si>
    <t>Admission Item</t>
  </si>
  <si>
    <t>Invitees and Registrants</t>
  </si>
  <si>
    <t>Raw Data</t>
  </si>
  <si>
    <t>Grand Total</t>
  </si>
  <si>
    <t>Registration Type</t>
  </si>
  <si>
    <t>Aspiring Educator (Student)</t>
  </si>
  <si>
    <t>Facilitators</t>
  </si>
  <si>
    <t>NEA Headquarter Staff</t>
  </si>
  <si>
    <t>NEA Member</t>
  </si>
  <si>
    <t>Scholarship</t>
  </si>
  <si>
    <t>Speaker or Presenter</t>
  </si>
  <si>
    <t>Vendor/Exhibitor</t>
  </si>
  <si>
    <t>Registrants - 2025 NEA HBCU Summit</t>
  </si>
  <si>
    <t>Harriette</t>
  </si>
  <si>
    <t>Howard-Lee Block</t>
  </si>
  <si>
    <t>dochoward06@gmail.com</t>
  </si>
  <si>
    <t>Texas State Teachers Association</t>
  </si>
  <si>
    <t>Prairie View A&amp;M University</t>
  </si>
  <si>
    <t>Other: Department Head</t>
  </si>
  <si>
    <t>HBCU (Historically Black Colleges and University)</t>
  </si>
  <si>
    <t>She/Her</t>
  </si>
  <si>
    <t>Black or African American</t>
  </si>
  <si>
    <t>Straight/Heterosexual</t>
  </si>
  <si>
    <t>Woman</t>
  </si>
  <si>
    <t>61+</t>
  </si>
  <si>
    <t>Veteran (30-39 years)</t>
  </si>
  <si>
    <t>Chanreaksmey</t>
  </si>
  <si>
    <t>Kim</t>
  </si>
  <si>
    <t>ckim9013@gmail.com</t>
  </si>
  <si>
    <t>Georgia Association Of Educators</t>
  </si>
  <si>
    <t>Mercer University</t>
  </si>
  <si>
    <t>Other: Graduate Student (M.A.T Elementary Education)</t>
  </si>
  <si>
    <t>Other:Private Research University - Religious Affiliation (Cooperative Baptist Fellowship) | Academic Affiliations (GRA . NAICU. ORAU)| Accreditation by SACSCOC.</t>
  </si>
  <si>
    <t>Asian and Pacific Islander</t>
  </si>
  <si>
    <t>36-45</t>
  </si>
  <si>
    <t>Pre-service (Aspiring Educator)</t>
  </si>
  <si>
    <t>Austin</t>
  </si>
  <si>
    <t>Small-Jones</t>
  </si>
  <si>
    <t>asmalljo@gsumail.gram.edu</t>
  </si>
  <si>
    <t>Louisiana Association of Educators</t>
  </si>
  <si>
    <t>Austin Small-Jones</t>
  </si>
  <si>
    <t>Aspiring Educator</t>
  </si>
  <si>
    <t>4 year college/university</t>
  </si>
  <si>
    <t>Prefer not to answer</t>
  </si>
  <si>
    <t>Man</t>
  </si>
  <si>
    <t>18-25</t>
  </si>
  <si>
    <t>Early career educator (0-5 years)</t>
  </si>
  <si>
    <t>Rachel</t>
  </si>
  <si>
    <t>Grabowski</t>
  </si>
  <si>
    <t>Grabowskir@ohea.org</t>
  </si>
  <si>
    <t>Ohio Education Association</t>
  </si>
  <si>
    <t>Central State University</t>
  </si>
  <si>
    <t>Other: Ohio EA AE Staff Organizer</t>
  </si>
  <si>
    <t>White</t>
  </si>
  <si>
    <t>26-35</t>
  </si>
  <si>
    <t>Mid career (6-10 years)</t>
  </si>
  <si>
    <t>Rhonda</t>
  </si>
  <si>
    <t>Thompson</t>
  </si>
  <si>
    <t>rthompson@nea.org</t>
  </si>
  <si>
    <t>National Education Association</t>
  </si>
  <si>
    <t>46-60</t>
  </si>
  <si>
    <t>Veteran (20-29 years)</t>
  </si>
  <si>
    <t>LaShaune</t>
  </si>
  <si>
    <t>Brisbon</t>
  </si>
  <si>
    <t>lsmithbrisbon@epicenter1.org</t>
  </si>
  <si>
    <t>The South Carolina Education Association</t>
  </si>
  <si>
    <t>Voorhees University</t>
  </si>
  <si>
    <t>Education Support Staff (ESP)/Staff</t>
  </si>
  <si>
    <t>Kennedi</t>
  </si>
  <si>
    <t>Williams</t>
  </si>
  <si>
    <t>kwill517@eagles.nccu.edu</t>
  </si>
  <si>
    <t>North Carolina Association of Educators</t>
  </si>
  <si>
    <t>North Carolina Central University</t>
  </si>
  <si>
    <t>Khaleah</t>
  </si>
  <si>
    <t>Smith</t>
  </si>
  <si>
    <t>leaalexus2004@icloud.com</t>
  </si>
  <si>
    <t>North Carolina Agricultural and Technical State University</t>
  </si>
  <si>
    <t>Albert</t>
  </si>
  <si>
    <t>Jones</t>
  </si>
  <si>
    <t>aljones@mseanea.org</t>
  </si>
  <si>
    <t>Maryland State Education Assn</t>
  </si>
  <si>
    <t>N/A</t>
  </si>
  <si>
    <t>Other: Staff</t>
  </si>
  <si>
    <t>Other:N/A</t>
  </si>
  <si>
    <t>He/Him</t>
  </si>
  <si>
    <t>Queer</t>
  </si>
  <si>
    <t>Teanna</t>
  </si>
  <si>
    <t>Howard</t>
  </si>
  <si>
    <t>teannahoward88@gmail.com</t>
  </si>
  <si>
    <t>Mississippi Association of Educators</t>
  </si>
  <si>
    <t>Jackson State University</t>
  </si>
  <si>
    <t>Tyra</t>
  </si>
  <si>
    <t>Fedrick</t>
  </si>
  <si>
    <t>tfedrick@alasu.edu</t>
  </si>
  <si>
    <t>Alabama Education Association</t>
  </si>
  <si>
    <t>Alabama State University</t>
  </si>
  <si>
    <t>Other: Student</t>
  </si>
  <si>
    <t>Renita</t>
  </si>
  <si>
    <t>Tolbert</t>
  </si>
  <si>
    <t>rtolbert@centralstate.edu</t>
  </si>
  <si>
    <t>Advisor</t>
  </si>
  <si>
    <t>Shanae</t>
  </si>
  <si>
    <t>Bond</t>
  </si>
  <si>
    <t>Sbond01@student.coppin.edu</t>
  </si>
  <si>
    <t>Coppin State University</t>
  </si>
  <si>
    <t>HBCU (Historically Black Colleges and University), 4 year college/university</t>
  </si>
  <si>
    <t>Douglas</t>
  </si>
  <si>
    <t>Curry</t>
  </si>
  <si>
    <t>douglas.curry@ncae.org</t>
  </si>
  <si>
    <t>Other:NCAE</t>
  </si>
  <si>
    <t>Veteran (11-19 years)</t>
  </si>
  <si>
    <t>Ezekiel</t>
  </si>
  <si>
    <t>King</t>
  </si>
  <si>
    <t>ezshaunking@gmail.com</t>
  </si>
  <si>
    <t>NON-Affiliate</t>
  </si>
  <si>
    <t>Morehouse</t>
  </si>
  <si>
    <t>Amanda</t>
  </si>
  <si>
    <t>Good</t>
  </si>
  <si>
    <t>gooda@lincolnu.edu</t>
  </si>
  <si>
    <t>Missouri NEA</t>
  </si>
  <si>
    <t>Lincoln University of Missouri</t>
  </si>
  <si>
    <t>Faculty (Professional)</t>
  </si>
  <si>
    <t>Nandi</t>
  </si>
  <si>
    <t>Riley</t>
  </si>
  <si>
    <t>nandi.riley@floridaea.org</t>
  </si>
  <si>
    <t>Florida Education Association</t>
  </si>
  <si>
    <t>Florida Agricultural and Mechanical University</t>
  </si>
  <si>
    <t>Laila</t>
  </si>
  <si>
    <t>Scaife-Johnson</t>
  </si>
  <si>
    <t>lscaife-johnson@cau.edu</t>
  </si>
  <si>
    <t>Clark Atlanta University</t>
  </si>
  <si>
    <t>4 year college/university, HBCU (Historically Black Colleges and University)</t>
  </si>
  <si>
    <t>Eric</t>
  </si>
  <si>
    <t>Dortas</t>
  </si>
  <si>
    <t>edortas@eagles.nccu.edu</t>
  </si>
  <si>
    <t>Latin(o/a/x), Hispanic, and Chican(o/a/x)</t>
  </si>
  <si>
    <t>Ambereen</t>
  </si>
  <si>
    <t>Khan-Baker</t>
  </si>
  <si>
    <t>AKhanBaker@nea.org</t>
  </si>
  <si>
    <t>Straight</t>
  </si>
  <si>
    <t>Veteran (11+ years)</t>
  </si>
  <si>
    <t>Shannon</t>
  </si>
  <si>
    <t>Stubblefield</t>
  </si>
  <si>
    <t>shannon@newdisabledsouth.org</t>
  </si>
  <si>
    <t>New Disabled South and The Black Disability Institute</t>
  </si>
  <si>
    <t>Other: Researchers</t>
  </si>
  <si>
    <t>Other:Nonprofit Org</t>
  </si>
  <si>
    <t>She/They</t>
  </si>
  <si>
    <t>Asexual</t>
  </si>
  <si>
    <t>Non-Binary</t>
  </si>
  <si>
    <t>Lauren</t>
  </si>
  <si>
    <t>Dukes</t>
  </si>
  <si>
    <t>Lauren23.dukes@gmail.com</t>
  </si>
  <si>
    <t>Alcorn State University</t>
  </si>
  <si>
    <t>Tammy</t>
  </si>
  <si>
    <t>Wagner</t>
  </si>
  <si>
    <t>tammy.wagner@dsea.org</t>
  </si>
  <si>
    <t>Delaware State Education Association</t>
  </si>
  <si>
    <t>State Staff</t>
  </si>
  <si>
    <t>Other: State Staff</t>
  </si>
  <si>
    <t>Other:State Staff</t>
  </si>
  <si>
    <t>Brittany</t>
  </si>
  <si>
    <t>Patrick</t>
  </si>
  <si>
    <t>bpatrick@nea.org</t>
  </si>
  <si>
    <t>Donald</t>
  </si>
  <si>
    <t>Collins</t>
  </si>
  <si>
    <t>drc9092@sbcglobal.net</t>
  </si>
  <si>
    <t>Veteran (40+ years)</t>
  </si>
  <si>
    <t>Cinia</t>
  </si>
  <si>
    <t>Boyd</t>
  </si>
  <si>
    <t>ciniajeere@gmail.com</t>
  </si>
  <si>
    <t>Arkansas Education Association</t>
  </si>
  <si>
    <t>University of Arkansas at Pine Bluff</t>
  </si>
  <si>
    <t>Monique</t>
  </si>
  <si>
    <t>Woodard</t>
  </si>
  <si>
    <t>monique.woodard@yahoo.com</t>
  </si>
  <si>
    <t>Thomas</t>
  </si>
  <si>
    <t>Bowen</t>
  </si>
  <si>
    <t>bowen.thomas@gmail.com</t>
  </si>
  <si>
    <t>Morehouse College</t>
  </si>
  <si>
    <t>Other: Alum</t>
  </si>
  <si>
    <t>TyMaine</t>
  </si>
  <si>
    <t>Holt</t>
  </si>
  <si>
    <t>tholt@claflin.edu</t>
  </si>
  <si>
    <t>Claflin University</t>
  </si>
  <si>
    <t>Other: The SCEA AE State President</t>
  </si>
  <si>
    <t>Marella</t>
  </si>
  <si>
    <t>McMillon-Holmes</t>
  </si>
  <si>
    <t>mmcmillon-holmes@nea.org</t>
  </si>
  <si>
    <t>Greg</t>
  </si>
  <si>
    <t>Underwood</t>
  </si>
  <si>
    <t>Gregunderwood388@gmail.com</t>
  </si>
  <si>
    <t>Gay</t>
  </si>
  <si>
    <t>Genesis</t>
  </si>
  <si>
    <t>68gen68@gmail.com</t>
  </si>
  <si>
    <t>Tennessee Education Association</t>
  </si>
  <si>
    <t>Tennessee State University</t>
  </si>
  <si>
    <t>Janyse</t>
  </si>
  <si>
    <t>Wilson</t>
  </si>
  <si>
    <t>nyse529@gmail.com</t>
  </si>
  <si>
    <t>Winston Salem State University</t>
  </si>
  <si>
    <t>Camryn</t>
  </si>
  <si>
    <t>Jordan</t>
  </si>
  <si>
    <t>cjor1886@gmail.com</t>
  </si>
  <si>
    <t>Savannah</t>
  </si>
  <si>
    <t>Simmons</t>
  </si>
  <si>
    <t>savannah.simmons@bulldogs.aamu.edu</t>
  </si>
  <si>
    <t>Alabama Agricultural &amp; Mechanical University</t>
  </si>
  <si>
    <t>Nick</t>
  </si>
  <si>
    <t>Temple</t>
  </si>
  <si>
    <t>nick@higheredlaborunited.org</t>
  </si>
  <si>
    <t>LaMonica</t>
  </si>
  <si>
    <t>Harris</t>
  </si>
  <si>
    <t>lharris@lae.org</t>
  </si>
  <si>
    <t>Grambling State University</t>
  </si>
  <si>
    <t>Javonte</t>
  </si>
  <si>
    <t>Taylor</t>
  </si>
  <si>
    <t>jtaylorycm@gmail.com</t>
  </si>
  <si>
    <t>Alabama A&amp;M University</t>
  </si>
  <si>
    <t>Krystal</t>
  </si>
  <si>
    <t>Andrews</t>
  </si>
  <si>
    <t>andrewske2@vcu.edu</t>
  </si>
  <si>
    <t>Virginia Commonwealth University</t>
  </si>
  <si>
    <t>Other: Director of Student Success</t>
  </si>
  <si>
    <t>MSI (Minority-serving institution), 4 year college/university</t>
  </si>
  <si>
    <t>Malaysha</t>
  </si>
  <si>
    <t>Brunner</t>
  </si>
  <si>
    <t>malaysha1366@gmail.com</t>
  </si>
  <si>
    <t>Ashley</t>
  </si>
  <si>
    <t>Tyler</t>
  </si>
  <si>
    <t>ashleytyler1203@gmail.com</t>
  </si>
  <si>
    <t>Armaan</t>
  </si>
  <si>
    <t>Whitney</t>
  </si>
  <si>
    <t>crwhi3@morgan.edu</t>
  </si>
  <si>
    <t>Morgan State University</t>
  </si>
  <si>
    <t>Raven</t>
  </si>
  <si>
    <t>Dorrough</t>
  </si>
  <si>
    <t>dorroughraven@gmail.com</t>
  </si>
  <si>
    <t>Shorter college</t>
  </si>
  <si>
    <t>2 year college</t>
  </si>
  <si>
    <t>Twana</t>
  </si>
  <si>
    <t>Freeman-Mallard</t>
  </si>
  <si>
    <t>twanafmallard@maetoday.org</t>
  </si>
  <si>
    <t>HBCU</t>
  </si>
  <si>
    <t>Other: State Member Organizer</t>
  </si>
  <si>
    <t>Other:Member Organizer</t>
  </si>
  <si>
    <t>ANGELA</t>
  </si>
  <si>
    <t>THORNTON</t>
  </si>
  <si>
    <t>amthornton@aol.com</t>
  </si>
  <si>
    <t>FLORIDA EDUCATION ASSOCIATION</t>
  </si>
  <si>
    <t>Florida A&amp;M University United Faculty of Florida (FAMU-UFF)</t>
  </si>
  <si>
    <t>She/Her/Hers</t>
  </si>
  <si>
    <t>African American/Black</t>
  </si>
  <si>
    <t>Bisexual</t>
  </si>
  <si>
    <t>Victoria</t>
  </si>
  <si>
    <t>Carr-Rodriguez</t>
  </si>
  <si>
    <t>vcarr-rodriguez@nea.org</t>
  </si>
  <si>
    <t>Cora</t>
  </si>
  <si>
    <t>Cohen-Barnes</t>
  </si>
  <si>
    <t>cgcohenbarnes@aggies.ncat.edu</t>
  </si>
  <si>
    <t>Matthew</t>
  </si>
  <si>
    <t>Bennet</t>
  </si>
  <si>
    <t>mbennet@nea.org</t>
  </si>
  <si>
    <t>Fogavai</t>
  </si>
  <si>
    <t>Horn</t>
  </si>
  <si>
    <t>Hornf1132@uapb.edu</t>
  </si>
  <si>
    <t>University of Arkansas pine bluff</t>
  </si>
  <si>
    <t>Gregory</t>
  </si>
  <si>
    <t>Downing</t>
  </si>
  <si>
    <t>gdowning@nccu.edu</t>
  </si>
  <si>
    <t>Stella</t>
  </si>
  <si>
    <t>stsmith@pvamu.edu</t>
  </si>
  <si>
    <t>Daniel</t>
  </si>
  <si>
    <t>Egbe</t>
  </si>
  <si>
    <t>Degbe@philander.edu</t>
  </si>
  <si>
    <t>Philander Smith University</t>
  </si>
  <si>
    <t>Dean</t>
  </si>
  <si>
    <t>Gladden</t>
  </si>
  <si>
    <t>jgladde6@eagles.nccu.edu</t>
  </si>
  <si>
    <t>Keyonna</t>
  </si>
  <si>
    <t>Certain</t>
  </si>
  <si>
    <t>kjcertain@aggies.ncat.edu</t>
  </si>
  <si>
    <t>Marvin</t>
  </si>
  <si>
    <t>Brown</t>
  </si>
  <si>
    <t>marvin.brown@morrisbrown.edu</t>
  </si>
  <si>
    <t>Morris Brown College</t>
  </si>
  <si>
    <t>Wisdom</t>
  </si>
  <si>
    <t>Cole</t>
  </si>
  <si>
    <t>wcole@naacpnet.org</t>
  </si>
  <si>
    <t>NAACP</t>
  </si>
  <si>
    <t>Other: N/a</t>
  </si>
  <si>
    <t>Other:Civil Rights Non-Profit</t>
  </si>
  <si>
    <t>Stephanie</t>
  </si>
  <si>
    <t>Clark</t>
  </si>
  <si>
    <t>clarks@lincolnu.edu</t>
  </si>
  <si>
    <t>Lincoln University</t>
  </si>
  <si>
    <t>Other: Department Chair/Faculty</t>
  </si>
  <si>
    <t>Kenya</t>
  </si>
  <si>
    <t>Horne</t>
  </si>
  <si>
    <t>Kenya.horne@jsums.edu</t>
  </si>
  <si>
    <t>Antonio</t>
  </si>
  <si>
    <t>Veritas</t>
  </si>
  <si>
    <t>elevation.veritas@gmail.com</t>
  </si>
  <si>
    <t>Multiracial</t>
  </si>
  <si>
    <t>KaLyn</t>
  </si>
  <si>
    <t>Fagan</t>
  </si>
  <si>
    <t>kfagan.csu@centralstate.edu</t>
  </si>
  <si>
    <t>Keturah</t>
  </si>
  <si>
    <t>Raabe</t>
  </si>
  <si>
    <t>kraabe@nea.org</t>
  </si>
  <si>
    <t>LaQuita</t>
  </si>
  <si>
    <t>Maxey</t>
  </si>
  <si>
    <t>lmaxey@nea.org</t>
  </si>
  <si>
    <t>Frankie</t>
  </si>
  <si>
    <t>Bonilla</t>
  </si>
  <si>
    <t>fbonilla@desu.edu</t>
  </si>
  <si>
    <t>Delaware State University</t>
  </si>
  <si>
    <t>Nekya</t>
  </si>
  <si>
    <t>nbrown39@broncos.uncfsu.edu</t>
  </si>
  <si>
    <t>Fayetteville State University</t>
  </si>
  <si>
    <t>Rakia</t>
  </si>
  <si>
    <t>Hardaway</t>
  </si>
  <si>
    <t>rakia.hardaway@nysut.org</t>
  </si>
  <si>
    <t>New York State United Teachers</t>
  </si>
  <si>
    <t>New York State United</t>
  </si>
  <si>
    <t>Barbour</t>
  </si>
  <si>
    <t>victoria.barbour@benedict.edu</t>
  </si>
  <si>
    <t>Benedict College</t>
  </si>
  <si>
    <t>Alex</t>
  </si>
  <si>
    <t>Rodriguez</t>
  </si>
  <si>
    <t>arodri36@eagles.nccu.edu</t>
  </si>
  <si>
    <t>Atherley</t>
  </si>
  <si>
    <t>matherley@nea.org</t>
  </si>
  <si>
    <t>Pansexual</t>
  </si>
  <si>
    <t>Danielle</t>
  </si>
  <si>
    <t>williamsdan@gram.edu</t>
  </si>
  <si>
    <t>Jailyn</t>
  </si>
  <si>
    <t>Boseman</t>
  </si>
  <si>
    <t>jailynbosemanhowie@icloud.com</t>
  </si>
  <si>
    <t>Michael</t>
  </si>
  <si>
    <t>Seaberry</t>
  </si>
  <si>
    <t>mseaberry@cau.edu</t>
  </si>
  <si>
    <t>Gay, Queer</t>
  </si>
  <si>
    <t>Torina</t>
  </si>
  <si>
    <t>Lewis</t>
  </si>
  <si>
    <t>Tdlewis@pvamu.edu</t>
  </si>
  <si>
    <t>HBCU (Historically Black Colleges and University), 4 year college/university, MSI (Minority-serving institution)</t>
  </si>
  <si>
    <t>Prefer not to say</t>
  </si>
  <si>
    <t>Kayla</t>
  </si>
  <si>
    <t>Mathis</t>
  </si>
  <si>
    <t>Kayla99mat@aol.com</t>
  </si>
  <si>
    <t>Florida Agricultural &amp; Mechanical University</t>
  </si>
  <si>
    <t>Jarmar</t>
  </si>
  <si>
    <t>Muhammad</t>
  </si>
  <si>
    <t>jarmar.muhammad@gmail.com</t>
  </si>
  <si>
    <t>Other: Vice President</t>
  </si>
  <si>
    <t>Ja'Lynn</t>
  </si>
  <si>
    <t>Adams - Gray</t>
  </si>
  <si>
    <t>jdadamsg@gmail.com</t>
  </si>
  <si>
    <t>Arkansas Baptist</t>
  </si>
  <si>
    <t>Latrice</t>
  </si>
  <si>
    <t>Patton</t>
  </si>
  <si>
    <t>karterandkhloe@gmail.com</t>
  </si>
  <si>
    <t>Indiana State Teachers Association</t>
  </si>
  <si>
    <t>Martin University</t>
  </si>
  <si>
    <t>KImberly</t>
  </si>
  <si>
    <t>White-Glenn</t>
  </si>
  <si>
    <t>Kimberly.Glenn@aamu.edu</t>
  </si>
  <si>
    <t>Merwyn</t>
  </si>
  <si>
    <t>Scott</t>
  </si>
  <si>
    <t>mscott@nea.org</t>
  </si>
  <si>
    <t>J'Marie</t>
  </si>
  <si>
    <t>Hines</t>
  </si>
  <si>
    <t>JHines7515@gmail.com</t>
  </si>
  <si>
    <t>Cayla</t>
  </si>
  <si>
    <t>caylajoelle18@gmail.com</t>
  </si>
  <si>
    <t>Native American/Alaska Native</t>
  </si>
  <si>
    <t>Mikayla</t>
  </si>
  <si>
    <t>Young</t>
  </si>
  <si>
    <t>m.young105059@spartans.nsu.edu</t>
  </si>
  <si>
    <t>Virginia Education Association</t>
  </si>
  <si>
    <t>Norfolk State University</t>
  </si>
  <si>
    <t>Doris</t>
  </si>
  <si>
    <t>Pinkston</t>
  </si>
  <si>
    <t>dorispinkston3@gmail.com</t>
  </si>
  <si>
    <t>Trenholm State Community College</t>
  </si>
  <si>
    <t>Pearsall III</t>
  </si>
  <si>
    <t>albert.pearsall@udc.edu</t>
  </si>
  <si>
    <t>District of Columbia-NEA</t>
  </si>
  <si>
    <t>University of the District of Columbia</t>
  </si>
  <si>
    <t>President</t>
  </si>
  <si>
    <t>Syreese</t>
  </si>
  <si>
    <t>Bailey</t>
  </si>
  <si>
    <t>Syreesejamie@gmail.com</t>
  </si>
  <si>
    <t>Arlester</t>
  </si>
  <si>
    <t>Crosby</t>
  </si>
  <si>
    <t>acrosby@trenholmstate.edu</t>
  </si>
  <si>
    <t>Travis</t>
  </si>
  <si>
    <t>Barnes</t>
  </si>
  <si>
    <t>tbarne23@wildcat.fvsu.edu</t>
  </si>
  <si>
    <t>Fort Valley State University</t>
  </si>
  <si>
    <t>Quayvis</t>
  </si>
  <si>
    <t>Cotton</t>
  </si>
  <si>
    <t>quayviscotton397@gmail.com</t>
  </si>
  <si>
    <t>Eriell</t>
  </si>
  <si>
    <t>Ford</t>
  </si>
  <si>
    <t>eriellford55@gmail.com</t>
  </si>
  <si>
    <t>Carmen</t>
  </si>
  <si>
    <t>Narvaez</t>
  </si>
  <si>
    <t>narvaezc1224@gmail.com</t>
  </si>
  <si>
    <t>Shorter College</t>
  </si>
  <si>
    <t>Adriane</t>
  </si>
  <si>
    <t>Dorrington</t>
  </si>
  <si>
    <t>Adorrington@nea.org</t>
  </si>
  <si>
    <t>Kimberly</t>
  </si>
  <si>
    <t>Cash</t>
  </si>
  <si>
    <t>cashk@lincolnu.edu</t>
  </si>
  <si>
    <t>Pennsylvania State Education Assn</t>
  </si>
  <si>
    <t>HBCU (Historically Black Colleges and University), MSI (Minority-serving institution), 4 year college/university</t>
  </si>
  <si>
    <t>danielle@blackvotersmatterfund.org</t>
  </si>
  <si>
    <t>Black Voters Matter</t>
  </si>
  <si>
    <t>Christi</t>
  </si>
  <si>
    <t>Broadway</t>
  </si>
  <si>
    <t>christi.broadway@ncae.org</t>
  </si>
  <si>
    <t>Other: Statewide Organizer</t>
  </si>
  <si>
    <t>HBCU (Historically Black Colleges and University), 2 year college, 4 year college/university, MSI (Minority-serving institution)</t>
  </si>
  <si>
    <t>Lesbian</t>
  </si>
  <si>
    <t>Betty</t>
  </si>
  <si>
    <t>bhoward@alasu.edu</t>
  </si>
  <si>
    <t>Tyekia</t>
  </si>
  <si>
    <t>tyekia4@gmail.com</t>
  </si>
  <si>
    <t>Levin</t>
  </si>
  <si>
    <t>levin@higheredlaborunited.org</t>
  </si>
  <si>
    <t>Leesa</t>
  </si>
  <si>
    <t>Rasp</t>
  </si>
  <si>
    <t>leesa.rasp@gmail.com</t>
  </si>
  <si>
    <t>Harris-Stowe State University</t>
  </si>
  <si>
    <t>Jada</t>
  </si>
  <si>
    <t>Rhodes</t>
  </si>
  <si>
    <t>Princessjr02@gmail.com</t>
  </si>
  <si>
    <t>Robyn</t>
  </si>
  <si>
    <t>Swinton</t>
  </si>
  <si>
    <t>raes2054@gmail.com</t>
  </si>
  <si>
    <t>Ayniah</t>
  </si>
  <si>
    <t>Payne</t>
  </si>
  <si>
    <t>ayniah.payne@students.cau.edu</t>
  </si>
  <si>
    <t>Other: President of the Georgia Association of Educators- Aspiring Educators</t>
  </si>
  <si>
    <t>Latashia</t>
  </si>
  <si>
    <t>Friday</t>
  </si>
  <si>
    <t>lfriday@bulldogs.aamu.edu</t>
  </si>
  <si>
    <t>Karla</t>
  </si>
  <si>
    <t>Medina</t>
  </si>
  <si>
    <t>KMEDINA@NEA.ORG</t>
  </si>
  <si>
    <t>NEA</t>
  </si>
  <si>
    <t>Kelvin</t>
  </si>
  <si>
    <t>ksmith@nea.org</t>
  </si>
  <si>
    <t>Hannah</t>
  </si>
  <si>
    <t>St. Clair</t>
  </si>
  <si>
    <t>hstclair@nea.org</t>
  </si>
  <si>
    <t>Other: NEA Governance</t>
  </si>
  <si>
    <t>Other:NEA Governance</t>
  </si>
  <si>
    <t>Roxanne</t>
  </si>
  <si>
    <t>Wright Watson</t>
  </si>
  <si>
    <t>rwatson582@gmail.com</t>
  </si>
  <si>
    <t>Lehigh Carbon Community College</t>
  </si>
  <si>
    <t>MSI (Minority-serving institution), 2 year college</t>
  </si>
  <si>
    <t>Shafeeq</t>
  </si>
  <si>
    <t>Ameen</t>
  </si>
  <si>
    <t>saameen@nsu.edu</t>
  </si>
  <si>
    <t>Khanya</t>
  </si>
  <si>
    <t>McGloson</t>
  </si>
  <si>
    <t>Kmcgloson@students.alcorn.edu</t>
  </si>
  <si>
    <t>Raymond</t>
  </si>
  <si>
    <t>Lomax</t>
  </si>
  <si>
    <t>lomaxraymond86@gmail.com</t>
  </si>
  <si>
    <t>Tara</t>
  </si>
  <si>
    <t>Richardson</t>
  </si>
  <si>
    <t>tara.richardson@mnea.org</t>
  </si>
  <si>
    <t>Marcia</t>
  </si>
  <si>
    <t>Kamienecki</t>
  </si>
  <si>
    <t>mkamienecki@nea.org</t>
  </si>
  <si>
    <t>Christina</t>
  </si>
  <si>
    <t>Gordon</t>
  </si>
  <si>
    <t>christina.gordon@ncae.org</t>
  </si>
  <si>
    <t>Other: graduate</t>
  </si>
  <si>
    <t>Mary Ellen</t>
  </si>
  <si>
    <t>Flannery</t>
  </si>
  <si>
    <t>mflannery@nea.org</t>
  </si>
  <si>
    <t>Taura</t>
  </si>
  <si>
    <t>ttaylorya@gmail.com</t>
  </si>
  <si>
    <t>Keyth</t>
  </si>
  <si>
    <t>Harrison</t>
  </si>
  <si>
    <t>kharrison@nea.org</t>
  </si>
  <si>
    <t>JaNaia</t>
  </si>
  <si>
    <t>Gatlin</t>
  </si>
  <si>
    <t>jgatlin7@eagles.nccu.edu</t>
  </si>
  <si>
    <t>Jasmine</t>
  </si>
  <si>
    <t>Kinard</t>
  </si>
  <si>
    <t>jlkinard@aggies.ncat.edu</t>
  </si>
  <si>
    <t>Khia</t>
  </si>
  <si>
    <t>Mccaskill</t>
  </si>
  <si>
    <t>Kmccaskill@students.alcorn.edu</t>
  </si>
  <si>
    <t>Joshua</t>
  </si>
  <si>
    <t>Frazier</t>
  </si>
  <si>
    <t>jfrazier@okea.org</t>
  </si>
  <si>
    <t>Oklahoma Education Association</t>
  </si>
  <si>
    <t>Karen</t>
  </si>
  <si>
    <t>Mitchell</t>
  </si>
  <si>
    <t>Parcla2736@yahoo.com</t>
  </si>
  <si>
    <t>Shorter College North Little Rock</t>
  </si>
  <si>
    <t>DeSheil</t>
  </si>
  <si>
    <t>Echols</t>
  </si>
  <si>
    <t>desheil.echols@aamu.edu</t>
  </si>
  <si>
    <t>Alabama A &amp; M University</t>
  </si>
  <si>
    <t>Brielle</t>
  </si>
  <si>
    <t>Jacobs</t>
  </si>
  <si>
    <t>bjacobs123@rams.wssu.edu</t>
  </si>
  <si>
    <t>Marikka</t>
  </si>
  <si>
    <t>Bender</t>
  </si>
  <si>
    <t>luvhurdles@yahoo.com</t>
  </si>
  <si>
    <t>Rita</t>
  </si>
  <si>
    <t>rtaylor@ista-in.org</t>
  </si>
  <si>
    <t>Other: Staff Liasion</t>
  </si>
  <si>
    <t>MSI (Minority-serving institution)</t>
  </si>
  <si>
    <t>Takisha</t>
  </si>
  <si>
    <t>Durm</t>
  </si>
  <si>
    <t>tsdurm@gmail.com</t>
  </si>
  <si>
    <t>Jaylen</t>
  </si>
  <si>
    <t>Ware</t>
  </si>
  <si>
    <t>Jaylenw1331@gmail.com</t>
  </si>
  <si>
    <t>Alabama Agricultural and Mechanical University</t>
  </si>
  <si>
    <t>Akissi</t>
  </si>
  <si>
    <t>Brooks</t>
  </si>
  <si>
    <t>akissi.brooks@gmail.com</t>
  </si>
  <si>
    <t>Yolandra</t>
  </si>
  <si>
    <t>Plummer</t>
  </si>
  <si>
    <t>plumpicks@gmail.com</t>
  </si>
  <si>
    <t>Adrianna</t>
  </si>
  <si>
    <t>Hannon</t>
  </si>
  <si>
    <t>adriannahannon@gmail.com</t>
  </si>
  <si>
    <t>Anthony</t>
  </si>
  <si>
    <t>answi2@morgan.edu</t>
  </si>
  <si>
    <t>Horrell</t>
  </si>
  <si>
    <t>scott.a.horrell@gmail.com</t>
  </si>
  <si>
    <t>4 year college/university, HBCU (Historically Black Colleges and University), MSI (Minority-serving institution)</t>
  </si>
  <si>
    <t>Ellen</t>
  </si>
  <si>
    <t>Holmes</t>
  </si>
  <si>
    <t>Eholmes@nea.org</t>
  </si>
  <si>
    <t>Other</t>
  </si>
  <si>
    <t>Catherine</t>
  </si>
  <si>
    <t>crwilson2@aggies.ncat.edu</t>
  </si>
  <si>
    <t>Brian</t>
  </si>
  <si>
    <t>Roberson</t>
  </si>
  <si>
    <t>broberson@nea.org</t>
  </si>
  <si>
    <t>Katera</t>
  </si>
  <si>
    <t>Blackburn</t>
  </si>
  <si>
    <t>kblackburn@alcorn.edu</t>
  </si>
  <si>
    <t>Franklin</t>
  </si>
  <si>
    <t>afrank16@eagles.nccu.edu</t>
  </si>
  <si>
    <t>Clarence</t>
  </si>
  <si>
    <t>Christian</t>
  </si>
  <si>
    <t>clarencechristian1223@gmail.com</t>
  </si>
  <si>
    <t>Barbera</t>
  </si>
  <si>
    <t>Whitman</t>
  </si>
  <si>
    <t>barb.whitman@myuea.org</t>
  </si>
  <si>
    <t>Utah Education Association</t>
  </si>
  <si>
    <t>Weber State University</t>
  </si>
  <si>
    <t>Other: Union Director</t>
  </si>
  <si>
    <t>Antonia</t>
  </si>
  <si>
    <t>Jackson</t>
  </si>
  <si>
    <t>Dasaniijay1992@gmail.com</t>
  </si>
  <si>
    <t>Morris College</t>
  </si>
  <si>
    <t>Dennis</t>
  </si>
  <si>
    <t>Ugbaja</t>
  </si>
  <si>
    <t>dugbajajr@gmail.com</t>
  </si>
  <si>
    <t>Carr</t>
  </si>
  <si>
    <t>carrg@hssu.edu</t>
  </si>
  <si>
    <t>Tracy</t>
  </si>
  <si>
    <t>Hinds, PhD</t>
  </si>
  <si>
    <t>hindst@lincolnu.edu</t>
  </si>
  <si>
    <t>Lincoln University-Missouri</t>
  </si>
  <si>
    <t>Michelle</t>
  </si>
  <si>
    <t>Couture</t>
  </si>
  <si>
    <t>Michelle.Couture@nysut.org</t>
  </si>
  <si>
    <t>State University of New York</t>
  </si>
  <si>
    <t>Other: LRS</t>
  </si>
  <si>
    <t>Alexander</t>
  </si>
  <si>
    <t>Thomson</t>
  </si>
  <si>
    <t>Alec_thomson@hotmail.com</t>
  </si>
  <si>
    <t>Michigan Education Association</t>
  </si>
  <si>
    <t>Schoolcraft College</t>
  </si>
  <si>
    <t>Jayla</t>
  </si>
  <si>
    <t>Griffin</t>
  </si>
  <si>
    <t>jaylaag17@gmail.com</t>
  </si>
  <si>
    <t>Miles College</t>
  </si>
  <si>
    <t>butrfly68.kw@gmail.com</t>
  </si>
  <si>
    <t>Dr. Christopher</t>
  </si>
  <si>
    <t>Johnson</t>
  </si>
  <si>
    <t>cjohnson@nea.org</t>
  </si>
  <si>
    <t>Darryl</t>
  </si>
  <si>
    <t>Sinkfield</t>
  </si>
  <si>
    <t>darryls@alaedu.org</t>
  </si>
  <si>
    <t>Other: State Assistant Executive Director</t>
  </si>
  <si>
    <t>MaryRita</t>
  </si>
  <si>
    <t>Watson</t>
  </si>
  <si>
    <t>mwatson@thescea.org</t>
  </si>
  <si>
    <t>Other: AE State Staff</t>
  </si>
  <si>
    <t>Other:The SC Education Association</t>
  </si>
  <si>
    <t>Ariel</t>
  </si>
  <si>
    <t>Washington</t>
  </si>
  <si>
    <t>acwashington22@students.desu.edu</t>
  </si>
  <si>
    <t>Tyrette</t>
  </si>
  <si>
    <t>Carter</t>
  </si>
  <si>
    <t>tscarte1@ncat.edu</t>
  </si>
  <si>
    <t>Richard</t>
  </si>
  <si>
    <t>richardm@alaedu.org</t>
  </si>
  <si>
    <t>Other: UniServ Director</t>
  </si>
  <si>
    <t>Alexis</t>
  </si>
  <si>
    <t>Montalvo</t>
  </si>
  <si>
    <t>alexis.montalvo@floridaea.org</t>
  </si>
  <si>
    <t>Other: AE Staff Liaison</t>
  </si>
  <si>
    <t>Chante</t>
  </si>
  <si>
    <t>Palmer</t>
  </si>
  <si>
    <t>CPalmer00@student.coppin.edu</t>
  </si>
  <si>
    <t>Erion</t>
  </si>
  <si>
    <t>Lee</t>
  </si>
  <si>
    <t>leeonyx71@gmail.com</t>
  </si>
  <si>
    <t>Zenai</t>
  </si>
  <si>
    <t>Randle</t>
  </si>
  <si>
    <t>zlrandle@aggies.ncat.edu</t>
  </si>
  <si>
    <t>Ilissa</t>
  </si>
  <si>
    <t>Morrow</t>
  </si>
  <si>
    <t>ilissa.morrow@edmn.org</t>
  </si>
  <si>
    <t>Education Minnesota</t>
  </si>
  <si>
    <t>Aspiring Educators</t>
  </si>
  <si>
    <t>Dozier</t>
  </si>
  <si>
    <t>Mdozier1@gsumail.gram.edu</t>
  </si>
  <si>
    <t>Other: Louisiana State Aspiring Educators President</t>
  </si>
  <si>
    <t>Brooklynn</t>
  </si>
  <si>
    <t>Armstrong</t>
  </si>
  <si>
    <t>barmstrong1231@gmail.com</t>
  </si>
  <si>
    <t>Kiesha</t>
  </si>
  <si>
    <t>kwilliams@massteacher.org</t>
  </si>
  <si>
    <t>Massachusetts Teachers Association</t>
  </si>
  <si>
    <t>NA</t>
  </si>
  <si>
    <t>Other: Affiliate staff</t>
  </si>
  <si>
    <t>Other:Affiliate Staff</t>
  </si>
  <si>
    <t>August</t>
  </si>
  <si>
    <t>Haygood</t>
  </si>
  <si>
    <t>august.haygood@alaedu.org</t>
  </si>
  <si>
    <t>Tuskegee University</t>
  </si>
  <si>
    <t>Other: Alumni</t>
  </si>
  <si>
    <t>Jerome</t>
  </si>
  <si>
    <t>jthompson@aaup.org</t>
  </si>
  <si>
    <t>AAUP</t>
  </si>
  <si>
    <t>Dylan</t>
  </si>
  <si>
    <t>Miller</t>
  </si>
  <si>
    <t>dmille84@eagles.nccu.edu</t>
  </si>
  <si>
    <t>Wendy</t>
  </si>
  <si>
    <t>wendy.holt@famu.edu</t>
  </si>
  <si>
    <t>Florida A&amp;M University Developmental Research School</t>
  </si>
  <si>
    <t>Elizabeth</t>
  </si>
  <si>
    <t>Mathelier</t>
  </si>
  <si>
    <t>elizabethmath14@gmail.com</t>
  </si>
  <si>
    <t>Monica</t>
  </si>
  <si>
    <t>MWashington@nea.org</t>
  </si>
  <si>
    <t>Marilyn</t>
  </si>
  <si>
    <t>Lovett Hampton</t>
  </si>
  <si>
    <t>drlovett@hushmail.com</t>
  </si>
  <si>
    <t>Mora</t>
  </si>
  <si>
    <t>Michaelmora383@gmail.com</t>
  </si>
  <si>
    <t>2 year college, HBCU (Historically Black Colleges and University)</t>
  </si>
  <si>
    <t>Saniah</t>
  </si>
  <si>
    <t>Major</t>
  </si>
  <si>
    <t>smajor@gsumail.gram.edu</t>
  </si>
  <si>
    <t>Ivory</t>
  </si>
  <si>
    <t>Toldson</t>
  </si>
  <si>
    <t>itoldson@howard.edu</t>
  </si>
  <si>
    <t>Howard University</t>
  </si>
  <si>
    <t>Lanaé</t>
  </si>
  <si>
    <t>lanaelewis13@gmail.com</t>
  </si>
  <si>
    <t>Sinead</t>
  </si>
  <si>
    <t>Younge</t>
  </si>
  <si>
    <t>sinead.younge@morehouse.edu</t>
  </si>
  <si>
    <t>Keyerra</t>
  </si>
  <si>
    <t>Chandler</t>
  </si>
  <si>
    <t>keyerrachandler27@gmail.com</t>
  </si>
  <si>
    <t>Central state university</t>
  </si>
  <si>
    <t>Helenna</t>
  </si>
  <si>
    <t>Chun</t>
  </si>
  <si>
    <t>hchun@nea.org</t>
  </si>
  <si>
    <t>Michiko</t>
  </si>
  <si>
    <t>McClary</t>
  </si>
  <si>
    <t>mmcclary@morris.edu</t>
  </si>
  <si>
    <t>Savanah</t>
  </si>
  <si>
    <t>McKee</t>
  </si>
  <si>
    <t>savanahmckee0@gmail.com</t>
  </si>
  <si>
    <t>Delaware Technical &amp; Community College-Wilmington Campus</t>
  </si>
  <si>
    <t>Xavier</t>
  </si>
  <si>
    <t>Kelley</t>
  </si>
  <si>
    <t>xkelley@eagles.nccu.edu</t>
  </si>
  <si>
    <t>Jarrius</t>
  </si>
  <si>
    <t>jarriusjackson1@outlook.com</t>
  </si>
  <si>
    <t>Telaiah</t>
  </si>
  <si>
    <t>Teilew8010@gmail.com</t>
  </si>
  <si>
    <t>Deandrea</t>
  </si>
  <si>
    <t>Moorer</t>
  </si>
  <si>
    <t>deandrea.moorer@gmail.com</t>
  </si>
  <si>
    <t>Felicia</t>
  </si>
  <si>
    <t>Taylorf@uapb.edu</t>
  </si>
  <si>
    <t>Mia</t>
  </si>
  <si>
    <t>Oliver Williams</t>
  </si>
  <si>
    <t>miaoliver1977@gmail.com</t>
  </si>
  <si>
    <t>Other: Director of Continuing Education</t>
  </si>
  <si>
    <t>Alexus</t>
  </si>
  <si>
    <t>Morgan</t>
  </si>
  <si>
    <t>alexus1.morgan@famu.edu</t>
  </si>
  <si>
    <t>FAMU-GAU</t>
  </si>
  <si>
    <t>Zachary</t>
  </si>
  <si>
    <t>Sheriff</t>
  </si>
  <si>
    <t>zacksheriff11@gmail.com</t>
  </si>
  <si>
    <t>University of Houston Clear Lake</t>
  </si>
  <si>
    <t>4 year college/university, MSI (Minority-serving institution)</t>
  </si>
  <si>
    <t>Vivian</t>
  </si>
  <si>
    <t>Zimmerman</t>
  </si>
  <si>
    <t>momzee2@comcast.net</t>
  </si>
  <si>
    <t>Illinois Education Association-NEA</t>
  </si>
  <si>
    <t>Prairie State College</t>
  </si>
  <si>
    <t>2 year college, Other:PBI</t>
  </si>
  <si>
    <t>Kisha</t>
  </si>
  <si>
    <t>Davis-Caldwell</t>
  </si>
  <si>
    <t>kdaviscaldwell@nea.org</t>
  </si>
  <si>
    <t>Darren</t>
  </si>
  <si>
    <t>Rainey, Sr.</t>
  </si>
  <si>
    <t>drainey@desu.edu</t>
  </si>
  <si>
    <t>Dawn</t>
  </si>
  <si>
    <t>Campbell</t>
  </si>
  <si>
    <t>dawn.campbell@benedict.edu</t>
  </si>
  <si>
    <t>Not Listed</t>
  </si>
  <si>
    <t>Alexandria</t>
  </si>
  <si>
    <t>Bonner</t>
  </si>
  <si>
    <t>abonner@tnea.org</t>
  </si>
  <si>
    <t>Other: State affiliate staff</t>
  </si>
  <si>
    <t>Other:State affiliate staff</t>
  </si>
  <si>
    <t>Amaury</t>
  </si>
  <si>
    <t>amaurymediabusiness@gmail.com</t>
  </si>
  <si>
    <t>Ayana</t>
  </si>
  <si>
    <t>Lea</t>
  </si>
  <si>
    <t>Leaayana@yahoo.com</t>
  </si>
  <si>
    <t>Sayra</t>
  </si>
  <si>
    <t>Coyotl</t>
  </si>
  <si>
    <t>Coyotls8590@uhcl.edu</t>
  </si>
  <si>
    <t>University of Houston- Clear Lake</t>
  </si>
  <si>
    <t>Aisha</t>
  </si>
  <si>
    <t>Vaughn</t>
  </si>
  <si>
    <t>aishanoni1002@gmail.com</t>
  </si>
  <si>
    <t>bwashington@nea.org</t>
  </si>
  <si>
    <t>Other: NEA Staff</t>
  </si>
  <si>
    <t>Other:NEA</t>
  </si>
  <si>
    <t>Samuel</t>
  </si>
  <si>
    <t>Dunietz</t>
  </si>
  <si>
    <t>sdunietz@nea.org</t>
  </si>
  <si>
    <t>Christopher</t>
  </si>
  <si>
    <t>Gillion</t>
  </si>
  <si>
    <t>cgillion@alasu.edu</t>
  </si>
  <si>
    <t>Timoshanae</t>
  </si>
  <si>
    <t>Rainey</t>
  </si>
  <si>
    <t>trainey@dtcc.edu</t>
  </si>
  <si>
    <t>Delaware Technical Community College</t>
  </si>
  <si>
    <t>Ledgerwood</t>
  </si>
  <si>
    <t>ahledgerwood@gmail.com</t>
  </si>
  <si>
    <t>Other: FEA Staff (SUD)</t>
  </si>
  <si>
    <t>Dr. Kimberly</t>
  </si>
  <si>
    <t>Lockhart</t>
  </si>
  <si>
    <t>kim.lockhart@shortercollege.edu</t>
  </si>
  <si>
    <t>Aniya</t>
  </si>
  <si>
    <t>Reaves</t>
  </si>
  <si>
    <t>a.reaves@spartans.nsu.edu</t>
  </si>
  <si>
    <t>Sprenger-Wilson</t>
  </si>
  <si>
    <t>jordansprengerwilson@gmail.com</t>
  </si>
  <si>
    <t>Allen University</t>
  </si>
  <si>
    <t>Micia</t>
  </si>
  <si>
    <t>Mosely</t>
  </si>
  <si>
    <t>micia@blackteacherproject.org</t>
  </si>
  <si>
    <t>Other: N/A</t>
  </si>
  <si>
    <t>Laurette</t>
  </si>
  <si>
    <t>Foster</t>
  </si>
  <si>
    <t>lbfoster49@gmail.com</t>
  </si>
  <si>
    <t>Lashay</t>
  </si>
  <si>
    <t>Buckner</t>
  </si>
  <si>
    <t>lashaybuckner087@gmail.com</t>
  </si>
  <si>
    <t>Ramiah</t>
  </si>
  <si>
    <t>Ross</t>
  </si>
  <si>
    <t>theramiahross@gmail.com</t>
  </si>
  <si>
    <t>Michele</t>
  </si>
  <si>
    <t>ONeill</t>
  </si>
  <si>
    <t>moneill@nea.org</t>
  </si>
  <si>
    <t>Dr. Primrose</t>
  </si>
  <si>
    <t>Cameron</t>
  </si>
  <si>
    <t>primrose.cameron@floridaea.org</t>
  </si>
  <si>
    <t>Other: PD Director-FEA</t>
  </si>
  <si>
    <t>Kelly</t>
  </si>
  <si>
    <t>Givens-Tate</t>
  </si>
  <si>
    <t>kgivens@aeanea.org</t>
  </si>
  <si>
    <t>AEA Staff</t>
  </si>
  <si>
    <t>Other: AEA Staff</t>
  </si>
  <si>
    <t>Other:Staff</t>
  </si>
  <si>
    <t>Tyonna</t>
  </si>
  <si>
    <t>jonestyonna171@gmail.com</t>
  </si>
  <si>
    <t>Siala</t>
  </si>
  <si>
    <t>Ene</t>
  </si>
  <si>
    <t>enesiala62@gmail.com</t>
  </si>
  <si>
    <t>Brandon</t>
  </si>
  <si>
    <t>Cahee</t>
  </si>
  <si>
    <t>bcahee@nea.org</t>
  </si>
  <si>
    <t>Hester</t>
  </si>
  <si>
    <t>contact@phoenixproductionsatl.com</t>
  </si>
  <si>
    <t>Phoenix Productions ATL</t>
  </si>
  <si>
    <t>Ruth Ann</t>
  </si>
  <si>
    <t>Bell</t>
  </si>
  <si>
    <t>rbell@alasu.edu</t>
  </si>
  <si>
    <t>Aguiar</t>
  </si>
  <si>
    <t>christian.aguiar@udc.edu</t>
  </si>
  <si>
    <t>HBCU (Historically Black Colleges and University), MSI (Minority-serving institution), 2 year college, 4 year college/university</t>
  </si>
  <si>
    <t>Rigby</t>
  </si>
  <si>
    <t>ashleyrigby18@gmail.com</t>
  </si>
  <si>
    <t>Duewayne</t>
  </si>
  <si>
    <t>Neath</t>
  </si>
  <si>
    <t>neathduewayne@yahoo.com</t>
  </si>
  <si>
    <t>Tammye</t>
  </si>
  <si>
    <t>Walker</t>
  </si>
  <si>
    <t>tammyew@tsta.org</t>
  </si>
  <si>
    <t>Other: Organizational Specialist</t>
  </si>
  <si>
    <t>Other:State Liason</t>
  </si>
  <si>
    <t>Lisa</t>
  </si>
  <si>
    <t>lwilson@maetoday.org</t>
  </si>
  <si>
    <t>Mississippi Valley State University</t>
  </si>
  <si>
    <t>2 year college, 4 year college/university, HBCU (Historically Black Colleges and University)</t>
  </si>
  <si>
    <t>Suzanne</t>
  </si>
  <si>
    <t>Clemons</t>
  </si>
  <si>
    <t>suzannec@alaedu.org</t>
  </si>
  <si>
    <t>Alabama Education Association Headquarters Staff</t>
  </si>
  <si>
    <t>Other: State AE Coordinator</t>
  </si>
  <si>
    <t>Other:State AE Coordinator</t>
  </si>
  <si>
    <t>Kennedy</t>
  </si>
  <si>
    <t>Roberts</t>
  </si>
  <si>
    <t>karoberts3@aggies.ncat.edu</t>
  </si>
  <si>
    <t>Pearla</t>
  </si>
  <si>
    <t>pgriffin@alasu.edu</t>
  </si>
  <si>
    <t>Skylar</t>
  </si>
  <si>
    <t>Nunley</t>
  </si>
  <si>
    <t>skylar.nunley@gae.org</t>
  </si>
  <si>
    <t>GAE</t>
  </si>
  <si>
    <t>Other: State Affililate Staff</t>
  </si>
  <si>
    <t>Other:State Affiliate Staff</t>
  </si>
  <si>
    <t>Taniya</t>
  </si>
  <si>
    <t>Bannister</t>
  </si>
  <si>
    <t>taniyabannister520@gmail.com</t>
  </si>
  <si>
    <t>Bowie State University</t>
  </si>
  <si>
    <t>Jase</t>
  </si>
  <si>
    <t>McKnight</t>
  </si>
  <si>
    <t>mcknightjase@gmail.com</t>
  </si>
  <si>
    <t>Stacy</t>
  </si>
  <si>
    <t>Hickox</t>
  </si>
  <si>
    <t>shickox@nea.org</t>
  </si>
  <si>
    <t>Huggins</t>
  </si>
  <si>
    <t>kayla.huggins@ocsdsc.org</t>
  </si>
  <si>
    <t>Rogers</t>
  </si>
  <si>
    <t>eric.rogers@benedict.edu</t>
  </si>
  <si>
    <t>Last Registration Date (GMT-05:00) Eastern [US &amp; Canada]</t>
  </si>
  <si>
    <t>First Name</t>
  </si>
  <si>
    <t>Last Name</t>
  </si>
  <si>
    <t>Email Address</t>
  </si>
  <si>
    <t>NEA Affiliate</t>
  </si>
  <si>
    <t>Higher ED (HE) institution (please spell out full name. No abbreviations):</t>
  </si>
  <si>
    <t>What is your role at your HE institution?</t>
  </si>
  <si>
    <t>What type of HE institution are you affiliated with?</t>
  </si>
  <si>
    <t>Gender Pronouns - Do Not Use</t>
  </si>
  <si>
    <t>What is your Race/Ethnicity?</t>
  </si>
  <si>
    <t>What is your sexual orientation?</t>
  </si>
  <si>
    <t>Please select your gender identity</t>
  </si>
  <si>
    <t>What is your age range?</t>
  </si>
  <si>
    <t>What is your career experience?</t>
  </si>
  <si>
    <t>Registration By State</t>
  </si>
  <si>
    <t>2025, Week 36</t>
  </si>
  <si>
    <t>2025, Week 37</t>
  </si>
  <si>
    <t>2025, Week 38</t>
  </si>
  <si>
    <t>2025, Week 39</t>
  </si>
  <si>
    <t>2025, Week 40</t>
  </si>
  <si>
    <t>2025, Week 41</t>
  </si>
  <si>
    <t>2025, Week 42</t>
  </si>
  <si>
    <t>2025, Week 43</t>
  </si>
  <si>
    <t>2025, Week 44</t>
  </si>
  <si>
    <t>Last Registration Date</t>
  </si>
  <si>
    <t>Event Information</t>
  </si>
  <si>
    <t>Event Title</t>
  </si>
  <si>
    <t>2025 NEA HBCU Summit</t>
  </si>
  <si>
    <t>Event Code</t>
  </si>
  <si>
    <t>W5NXPCZ9C68</t>
  </si>
  <si>
    <t>Event Capacity</t>
  </si>
  <si>
    <t>205</t>
  </si>
  <si>
    <t>Start Date</t>
  </si>
  <si>
    <t>Nov 7, 2025 4:00 PM</t>
  </si>
  <si>
    <t>End Date</t>
  </si>
  <si>
    <t>Nov 9, 2025 1:00 PM</t>
  </si>
  <si>
    <t>Event Description</t>
  </si>
  <si>
    <t/>
  </si>
  <si>
    <t>Internal Note</t>
  </si>
  <si>
    <t>Registration Deadline</t>
  </si>
  <si>
    <t>Oct 24, 2025 12:59 PM</t>
  </si>
  <si>
    <t>Event Location</t>
  </si>
  <si>
    <t>Atlanta Marriott Marquis</t>
  </si>
  <si>
    <t>Planner First Name</t>
  </si>
  <si>
    <t>Planner Email Address</t>
  </si>
  <si>
    <t>KMedina@nea.org</t>
  </si>
  <si>
    <t>Table of Contents</t>
  </si>
  <si>
    <t>Link to corresponding sheet below</t>
  </si>
  <si>
    <t>Registrants - 2025 NEA HBCU Sum</t>
  </si>
  <si>
    <t>Registration Trend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</si>
</sst>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;;"/>
  </numFmts>
  <fonts count="12" x14ac:knownFonts="1">
    <font>
      <sz val="10"/>
      <color theme="1"/>
      <name val="Arial"/>
      <family val="2"/>
    </font>
    <font>
      <u/>
      <sz val="10"/>
      <color rgb="FF0000FF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8"/>
      <color theme="1"/>
      <name val="Calibri"/>
      <family val="2"/>
    </font>
    <font>
      <sz val="10"/>
      <color theme="1"/>
      <name val="Arial"/>
      <family val="2"/>
    </font>
    <font>
      <b/>
      <sz val="13"/>
      <color theme="1"/>
      <name val="Calibri"/>
      <family val="2"/>
    </font>
    <font>
      <u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 tint="0.4999542222357860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</cellStyleXfs>
  <cellXfs count="27">
    <xf numFmtId="0" fontId="0" fillId="0" borderId="0" xfId="0"/>
    <xf numFmtId="0" fontId="3" fillId="3" borderId="2" xfId="0" applyFont="1" applyFill="1" applyBorder="1" applyAlignment="1">
      <alignment horizontal="left" vertical="center" wrapText="1"/>
    </xf>
    <xf numFmtId="0" fontId="0" fillId="0" borderId="2" xfId="0" applyBorder="1"/>
    <xf numFmtId="0" fontId="6" fillId="3" borderId="2" xfId="0" applyFont="1" applyFill="1" applyBorder="1" applyAlignment="1">
      <alignment horizontal="center" vertical="center" wrapText="1"/>
    </xf>
    <xf numFmtId="0" fontId="11" fillId="0" borderId="0" xfId="0" applyFont="1"/>
    <xf numFmtId="0" fontId="8" fillId="0" borderId="0" xfId="0" applyFont="1" applyAlignment="1">
      <alignment vertical="center"/>
    </xf>
    <xf numFmtId="49" fontId="7" fillId="0" borderId="0" xfId="0" applyNumberFormat="1" applyFont="1" applyAlignment="1">
      <alignment wrapText="1"/>
    </xf>
    <xf numFmtId="3" fontId="7" fillId="0" borderId="0" xfId="0" applyNumberFormat="1" applyFont="1"/>
    <xf numFmtId="49" fontId="7" fillId="2" borderId="0" xfId="0" applyNumberFormat="1" applyFont="1" applyFill="1" applyAlignment="1">
      <alignment wrapText="1"/>
    </xf>
    <xf numFmtId="3" fontId="7" fillId="2" borderId="0" xfId="0" applyNumberFormat="1" applyFont="1" applyFill="1"/>
    <xf numFmtId="0" fontId="10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7" fillId="0" borderId="0" xfId="0" applyFont="1"/>
    <xf numFmtId="0" fontId="8" fillId="0" borderId="3" xfId="0" applyFont="1" applyBorder="1" applyAlignment="1">
      <alignment vertical="center"/>
    </xf>
    <xf numFmtId="22" fontId="7" fillId="0" borderId="0" xfId="0" applyNumberFormat="1" applyFont="1"/>
    <xf numFmtId="22" fontId="7" fillId="2" borderId="0" xfId="0" applyNumberFormat="1" applyFont="1" applyFill="1"/>
    <xf numFmtId="0" fontId="5" fillId="4" borderId="4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5" fillId="4" borderId="0" xfId="0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7" fillId="0" borderId="0" xfId="0" pivotButton="1" applyFont="1"/>
    <xf numFmtId="164" fontId="7" fillId="0" borderId="0" xfId="0" pivotButton="1" applyNumberFormat="1" applyFont="1"/>
    <xf numFmtId="164" fontId="7" fillId="0" borderId="0" xfId="0" applyNumberFormat="1" applyFon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18">
    <dxf>
      <font>
        <sz val="12"/>
        <name val="Calibri"/>
      </font>
    </dxf>
    <dxf>
      <font>
        <sz val="12"/>
        <name val="Calibri"/>
      </font>
    </dxf>
    <dxf>
      <numFmt numFmtId="164" formatCode="0.0%;;"/>
    </dxf>
    <dxf>
      <font>
        <sz val="12"/>
        <name val="Calibri"/>
      </font>
    </dxf>
    <dxf>
      <font>
        <sz val="12"/>
        <name val="Calibri"/>
      </font>
    </dxf>
    <dxf>
      <numFmt numFmtId="164" formatCode="0.0%;;"/>
    </dxf>
    <dxf>
      <font>
        <sz val="12"/>
        <name val="Calibri"/>
      </font>
    </dxf>
    <dxf>
      <font>
        <sz val="12"/>
        <name val="Calibri"/>
      </font>
    </dxf>
    <dxf>
      <numFmt numFmtId="164" formatCode="0.0%;;"/>
    </dxf>
    <dxf>
      <numFmt numFmtId="164" formatCode="0.0%;;"/>
    </dxf>
    <dxf>
      <font>
        <sz val="12"/>
        <name val="Calibri"/>
      </font>
    </dxf>
    <dxf>
      <font>
        <sz val="12"/>
        <name val="Calibri"/>
      </font>
    </dxf>
    <dxf>
      <font>
        <sz val="12"/>
        <name val="Calibri"/>
      </font>
    </dxf>
    <dxf>
      <numFmt numFmtId="164" formatCode="0.0%;;"/>
    </dxf>
    <dxf>
      <font>
        <sz val="12"/>
        <name val="Calibri"/>
      </font>
    </dxf>
    <dxf>
      <numFmt numFmtId="164" formatCode="0.0%;;"/>
    </dxf>
    <dxf>
      <font>
        <sz val="12"/>
        <name val="Calibri"/>
      </font>
    </dxf>
    <dxf>
      <font>
        <sz val="12"/>
        <name val="Calibri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pivotCacheDefinition" Target="pivotCache/pivotCacheDefinition6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pivotCacheDefinition" Target="pivotCache/pivotCacheDefinition4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/>
            </a:pPr>
            <a:r>
              <a:rPr lang="en-US" sz="1200" b="1" u="none" baseline="0">
                <a:latin typeface="Calibri"/>
                <a:ea typeface="Calibri"/>
                <a:cs typeface="Calibri"/>
              </a:rPr>
              <a:t>Registration Trend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cat>
            <c:strRef>
              <c:f>'Registration Trend'!$A$39:$A$47</c:f>
              <c:strCache>
                <c:ptCount val="9"/>
                <c:pt idx="0">
                  <c:v>2025, Week 36</c:v>
                </c:pt>
                <c:pt idx="1">
                  <c:v>2025, Week 37</c:v>
                </c:pt>
                <c:pt idx="2">
                  <c:v>2025, Week 38</c:v>
                </c:pt>
                <c:pt idx="3">
                  <c:v>2025, Week 39</c:v>
                </c:pt>
                <c:pt idx="4">
                  <c:v>2025, Week 40</c:v>
                </c:pt>
                <c:pt idx="5">
                  <c:v>2025, Week 41</c:v>
                </c:pt>
                <c:pt idx="6">
                  <c:v>2025, Week 42</c:v>
                </c:pt>
                <c:pt idx="7">
                  <c:v>2025, Week 43</c:v>
                </c:pt>
                <c:pt idx="8">
                  <c:v>2025, Week 44</c:v>
                </c:pt>
              </c:strCache>
            </c:strRef>
          </c:cat>
          <c:val>
            <c:numRef>
              <c:f>'Registration Trend'!$B$39:$B$47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11</c:v>
                </c:pt>
                <c:pt idx="3">
                  <c:v>40</c:v>
                </c:pt>
                <c:pt idx="4">
                  <c:v>26</c:v>
                </c:pt>
                <c:pt idx="5">
                  <c:v>60</c:v>
                </c:pt>
                <c:pt idx="6">
                  <c:v>53</c:v>
                </c:pt>
                <c:pt idx="7">
                  <c:v>21</c:v>
                </c:pt>
                <c:pt idx="8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60-4815-BB74-185289F0D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677554"/>
        <c:axId val="1677731354"/>
      </c:lineChart>
      <c:catAx>
        <c:axId val="382677554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en-US" sz="1200" u="none" baseline="0">
                    <a:latin typeface="Calibri"/>
                    <a:ea typeface="Calibri"/>
                    <a:cs typeface="Calibri"/>
                  </a:rPr>
                  <a:t>Last Registration Date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1"/>
        <c:majorTickMark val="out"/>
        <c:minorTickMark val="none"/>
        <c:tickLblPos val="low"/>
        <c:txPr>
          <a:bodyPr/>
          <a:lstStyle/>
          <a:p>
            <a:pPr>
              <a:defRPr lang="en-US" sz="12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77731354"/>
        <c:crosses val="autoZero"/>
        <c:auto val="0"/>
        <c:lblAlgn val="ctr"/>
        <c:lblOffset val="100"/>
        <c:noMultiLvlLbl val="0"/>
      </c:catAx>
      <c:valAx>
        <c:axId val="1677731354"/>
        <c:scaling>
          <c:orientation val="minMax"/>
          <c:min val="0"/>
        </c:scaling>
        <c:delete val="0"/>
        <c:axPos val="l"/>
        <c:majorGridlines>
          <c:spPr>
            <a:ln/>
          </c:spPr>
        </c:majorGridlines>
        <c:title>
          <c:tx>
            <c:rich>
              <a:bodyPr rot="-5400000" vert="horz"/>
              <a:lstStyle/>
              <a:p>
                <a:pPr algn="ctr">
                  <a:defRPr/>
                </a:pPr>
                <a:r>
                  <a:rPr lang="en-US"/>
                  <a:t>Number of Invitees and Registrants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@" sourceLinked="0"/>
        <c:majorTickMark val="out"/>
        <c:minorTickMark val="none"/>
        <c:tickLblPos val="nextTo"/>
        <c:txPr>
          <a:bodyPr/>
          <a:lstStyle/>
          <a:p>
            <a:pPr>
              <a:defRPr lang="en-US" sz="12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8267755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</a:ln>
      </c:spPr>
    </c:plotArea>
    <c:plotVisOnly val="1"/>
    <c:dispBlanksAs val="gap"/>
    <c:showDLblsOverMax val="0"/>
  </c:chart>
  <c:txPr>
    <a:bodyPr rot="0" vert="horz"/>
    <a:lstStyle/>
    <a:p>
      <a:pPr>
        <a:defRPr lang="en-US" u="none" baseline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11</xdr:col>
      <xdr:colOff>76200</xdr:colOff>
      <xdr:row>37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edina, Karla [NEA]" refreshedDate="45961.491160069447" createdVersion="3" refreshedVersion="8" recordCount="29" xr:uid="{00000000-000A-0000-FFFF-FFFF06000000}">
  <cacheSource type="worksheet">
    <worksheetSource ref="A38:B67" sheet="Registration By State"/>
  </cacheSource>
  <cacheFields count="2">
    <cacheField name="NEA Affiliate" numFmtId="49">
      <sharedItems count="28">
        <s v="Alabama Education Association"/>
        <s v="Arkansas Education Association"/>
        <s v="Delaware State Education Association"/>
        <s v="District of Columbia-NEA"/>
        <s v="Education Minnesota"/>
        <s v="FLORIDA EDUCATION ASSOCIATION"/>
        <s v="Georgia Association Of Educators"/>
        <s v="Illinois Education Association-NEA"/>
        <s v="Indiana State Teachers Association"/>
        <s v="Louisiana Association of Educators"/>
        <s v="Maryland State Education Assn"/>
        <s v="Massachusetts Teachers Association"/>
        <s v="Michigan Education Association"/>
        <s v="Mississippi Association of Educators"/>
        <s v="Missouri NEA"/>
        <s v="National Education Association"/>
        <s v="New York State United Teachers"/>
        <s v="NON-Affiliate"/>
        <s v="North Carolina Association of Educators"/>
        <s v="Not Listed"/>
        <s v="Ohio Education Association"/>
        <s v="Oklahoma Education Association"/>
        <s v="Pennsylvania State Education Assn"/>
        <s v="Tennessee Education Association"/>
        <s v="Texas State Teachers Association"/>
        <s v="The South Carolina Education Association"/>
        <s v="Utah Education Association"/>
        <s v="Virginia Education Association"/>
      </sharedItems>
    </cacheField>
    <cacheField name="Invitees and Registrants" numFmtId="3">
      <sharedItems containsSemiMixedTypes="0" containsString="0" containsNumber="1" containsInteger="1" minValue="1" maxValue="2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edina, Karla [NEA]" refreshedDate="45961.49116041667" createdVersion="3" refreshedVersion="8" recordCount="29" xr:uid="{00000000-000A-0000-FFFF-FFFF05000000}">
  <cacheSource type="worksheet">
    <worksheetSource ref="A38:B67" sheet="Registration By State"/>
  </cacheSource>
  <cacheFields count="2">
    <cacheField name="NEA Affiliate" numFmtId="49">
      <sharedItems count="28">
        <s v="Alabama Education Association"/>
        <s v="Arkansas Education Association"/>
        <s v="Delaware State Education Association"/>
        <s v="District of Columbia-NEA"/>
        <s v="Education Minnesota"/>
        <s v="FLORIDA EDUCATION ASSOCIATION"/>
        <s v="Georgia Association Of Educators"/>
        <s v="Illinois Education Association-NEA"/>
        <s v="Indiana State Teachers Association"/>
        <s v="Louisiana Association of Educators"/>
        <s v="Maryland State Education Assn"/>
        <s v="Massachusetts Teachers Association"/>
        <s v="Michigan Education Association"/>
        <s v="Mississippi Association of Educators"/>
        <s v="Missouri NEA"/>
        <s v="National Education Association"/>
        <s v="New York State United Teachers"/>
        <s v="NON-Affiliate"/>
        <s v="North Carolina Association of Educators"/>
        <s v="Not Listed"/>
        <s v="Ohio Education Association"/>
        <s v="Oklahoma Education Association"/>
        <s v="Pennsylvania State Education Assn"/>
        <s v="Tennessee Education Association"/>
        <s v="Texas State Teachers Association"/>
        <s v="The South Carolina Education Association"/>
        <s v="Utah Education Association"/>
        <s v="Virginia Education Association"/>
      </sharedItems>
    </cacheField>
    <cacheField name="Invitees and Registrants" numFmtId="3">
      <sharedItems containsSemiMixedTypes="0" containsString="0" containsNumber="1" containsInteger="1" minValue="1" maxValue="2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edina, Karla [NEA]" refreshedDate="45961.491161111109" createdVersion="3" refreshedVersion="8" recordCount="7" xr:uid="{00000000-000A-0000-FFFF-FFFF04000000}">
  <cacheSource type="worksheet">
    <worksheetSource ref="A20:B27" sheet="Registration Type"/>
  </cacheSource>
  <cacheFields count="2">
    <cacheField name="Registration Type" numFmtId="49">
      <sharedItems count="7">
        <s v="Aspiring Educator (Student)"/>
        <s v="Facilitators"/>
        <s v="NEA Headquarter Staff"/>
        <s v="NEA Member"/>
        <s v="Scholarship"/>
        <s v="Speaker or Presenter"/>
        <s v="Vendor/Exhibitor"/>
      </sharedItems>
    </cacheField>
    <cacheField name="Invitees and Registrants" numFmtId="3">
      <sharedItems containsSemiMixedTypes="0" containsString="0" containsNumber="1" containsInteger="1" minValue="8" maxValue="8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edina, Karla [NEA]" refreshedDate="45961.491161921294" createdVersion="3" refreshedVersion="8" recordCount="7" xr:uid="{00000000-000A-0000-FFFF-FFFF03000000}">
  <cacheSource type="worksheet">
    <worksheetSource ref="A20:B27" sheet="Registration Type"/>
  </cacheSource>
  <cacheFields count="2">
    <cacheField name="Registration Type" numFmtId="49">
      <sharedItems count="7">
        <s v="Aspiring Educator (Student)"/>
        <s v="Facilitators"/>
        <s v="NEA Headquarter Staff"/>
        <s v="NEA Member"/>
        <s v="Scholarship"/>
        <s v="Speaker or Presenter"/>
        <s v="Vendor/Exhibitor"/>
      </sharedItems>
    </cacheField>
    <cacheField name="Invitees and Registrants" numFmtId="3">
      <sharedItems containsSemiMixedTypes="0" containsString="0" containsNumber="1" containsInteger="1" minValue="8" maxValue="8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edina, Karla [NEA]" refreshedDate="45961.491163310187" createdVersion="3" refreshedVersion="8" recordCount="2" xr:uid="{00000000-000A-0000-FFFF-FFFF02000000}">
  <cacheSource type="worksheet">
    <worksheetSource ref="A20:B22" sheet="HBCU Admission Item"/>
  </cacheSource>
  <cacheFields count="2">
    <cacheField name="Admission Item" numFmtId="49">
      <sharedItems count="2">
        <s v="2025 NEA HBCU Registration"/>
        <s v="Pre-Conference: UniServ Organizing on HBCU Campuses AND 2025 NEA HBCU Summit"/>
      </sharedItems>
    </cacheField>
    <cacheField name="Invitees and Registrants" numFmtId="3">
      <sharedItems containsSemiMixedTypes="0" containsString="0" containsNumber="1" containsInteger="1" minValue="43" maxValue="18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edina, Karla [NEA]" refreshedDate="45961.491163888888" createdVersion="3" refreshedVersion="8" recordCount="2" xr:uid="{00000000-000A-0000-FFFF-FFFF01000000}">
  <cacheSource type="worksheet">
    <worksheetSource ref="A20:B22" sheet="HBCU Admission Item"/>
  </cacheSource>
  <cacheFields count="2">
    <cacheField name="Admission Item" numFmtId="49">
      <sharedItems count="2">
        <s v="2025 NEA HBCU Registration"/>
        <s v="Pre-Conference: UniServ Organizing on HBCU Campuses AND 2025 NEA HBCU Summit"/>
      </sharedItems>
    </cacheField>
    <cacheField name="Invitees and Registrants" numFmtId="3">
      <sharedItems containsSemiMixedTypes="0" containsString="0" containsNumber="1" containsInteger="1" minValue="43" maxValue="18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x v="0"/>
    <n v="25"/>
  </r>
  <r>
    <x v="1"/>
    <n v="16"/>
  </r>
  <r>
    <x v="2"/>
    <n v="8"/>
  </r>
  <r>
    <x v="3"/>
    <n v="3"/>
  </r>
  <r>
    <x v="4"/>
    <n v="1"/>
  </r>
  <r>
    <x v="5"/>
    <n v="1"/>
  </r>
  <r>
    <x v="5"/>
    <n v="10"/>
  </r>
  <r>
    <x v="6"/>
    <n v="13"/>
  </r>
  <r>
    <x v="7"/>
    <n v="1"/>
  </r>
  <r>
    <x v="8"/>
    <n v="3"/>
  </r>
  <r>
    <x v="9"/>
    <n v="6"/>
  </r>
  <r>
    <x v="10"/>
    <n v="8"/>
  </r>
  <r>
    <x v="11"/>
    <n v="1"/>
  </r>
  <r>
    <x v="12"/>
    <n v="1"/>
  </r>
  <r>
    <x v="13"/>
    <n v="10"/>
  </r>
  <r>
    <x v="14"/>
    <n v="7"/>
  </r>
  <r>
    <x v="15"/>
    <n v="29"/>
  </r>
  <r>
    <x v="16"/>
    <n v="2"/>
  </r>
  <r>
    <x v="17"/>
    <n v="12"/>
  </r>
  <r>
    <x v="18"/>
    <n v="28"/>
  </r>
  <r>
    <x v="19"/>
    <n v="2"/>
  </r>
  <r>
    <x v="20"/>
    <n v="7"/>
  </r>
  <r>
    <x v="21"/>
    <n v="1"/>
  </r>
  <r>
    <x v="22"/>
    <n v="2"/>
  </r>
  <r>
    <x v="23"/>
    <n v="4"/>
  </r>
  <r>
    <x v="24"/>
    <n v="8"/>
  </r>
  <r>
    <x v="25"/>
    <n v="13"/>
  </r>
  <r>
    <x v="26"/>
    <n v="1"/>
  </r>
  <r>
    <x v="27"/>
    <n v="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x v="0"/>
    <n v="25"/>
  </r>
  <r>
    <x v="1"/>
    <n v="16"/>
  </r>
  <r>
    <x v="2"/>
    <n v="8"/>
  </r>
  <r>
    <x v="3"/>
    <n v="3"/>
  </r>
  <r>
    <x v="4"/>
    <n v="1"/>
  </r>
  <r>
    <x v="5"/>
    <n v="1"/>
  </r>
  <r>
    <x v="5"/>
    <n v="10"/>
  </r>
  <r>
    <x v="6"/>
    <n v="13"/>
  </r>
  <r>
    <x v="7"/>
    <n v="1"/>
  </r>
  <r>
    <x v="8"/>
    <n v="3"/>
  </r>
  <r>
    <x v="9"/>
    <n v="6"/>
  </r>
  <r>
    <x v="10"/>
    <n v="8"/>
  </r>
  <r>
    <x v="11"/>
    <n v="1"/>
  </r>
  <r>
    <x v="12"/>
    <n v="1"/>
  </r>
  <r>
    <x v="13"/>
    <n v="10"/>
  </r>
  <r>
    <x v="14"/>
    <n v="7"/>
  </r>
  <r>
    <x v="15"/>
    <n v="29"/>
  </r>
  <r>
    <x v="16"/>
    <n v="2"/>
  </r>
  <r>
    <x v="17"/>
    <n v="12"/>
  </r>
  <r>
    <x v="18"/>
    <n v="28"/>
  </r>
  <r>
    <x v="19"/>
    <n v="2"/>
  </r>
  <r>
    <x v="20"/>
    <n v="7"/>
  </r>
  <r>
    <x v="21"/>
    <n v="1"/>
  </r>
  <r>
    <x v="22"/>
    <n v="2"/>
  </r>
  <r>
    <x v="23"/>
    <n v="4"/>
  </r>
  <r>
    <x v="24"/>
    <n v="8"/>
  </r>
  <r>
    <x v="25"/>
    <n v="13"/>
  </r>
  <r>
    <x v="26"/>
    <n v="1"/>
  </r>
  <r>
    <x v="27"/>
    <n v="3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n v="86"/>
  </r>
  <r>
    <x v="1"/>
    <n v="8"/>
  </r>
  <r>
    <x v="2"/>
    <n v="26"/>
  </r>
  <r>
    <x v="3"/>
    <n v="69"/>
  </r>
  <r>
    <x v="4"/>
    <n v="15"/>
  </r>
  <r>
    <x v="5"/>
    <n v="10"/>
  </r>
  <r>
    <x v="6"/>
    <n v="12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n v="86"/>
  </r>
  <r>
    <x v="1"/>
    <n v="8"/>
  </r>
  <r>
    <x v="2"/>
    <n v="26"/>
  </r>
  <r>
    <x v="3"/>
    <n v="69"/>
  </r>
  <r>
    <x v="4"/>
    <n v="15"/>
  </r>
  <r>
    <x v="5"/>
    <n v="10"/>
  </r>
  <r>
    <x v="6"/>
    <n v="12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">
  <r>
    <x v="0"/>
    <n v="183"/>
  </r>
  <r>
    <x v="1"/>
    <n v="43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">
  <r>
    <x v="0"/>
    <n v="183"/>
  </r>
  <r>
    <x v="1"/>
    <n v="4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1000000}" name="HBCU Admission Item" cacheId="25" applyNumberFormats="0" applyBorderFormats="0" applyFontFormats="0" applyPatternFormats="0" applyAlignmentFormats="0" applyWidthHeightFormats="1" dataCaption="Data" errorCaption="0" showError="1" missingCaption="0" updatedVersion="8" useAutoFormatting="1" itemPrintTitles="1" createdVersion="4" rowHeaderCaption="Admission Item" colHeaderCaption="Invitees and Registrants">
  <location ref="E5:F8" firstHeaderRow="1" firstDataRow="1" firstDataCol="1"/>
  <pivotFields count="2">
    <pivotField axis="axisRow" compact="0" outline="0" subtotalTop="0" showAll="0" sortType="ascending">
      <items count="3">
        <item x="0"/>
        <item x="1"/>
        <item t="default"/>
      </items>
    </pivotField>
    <pivotField dataField="1" compact="0" outline="0" subtotalTop="0" showAl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Invitees and Registrants" fld="1" showDataAs="percentOfCol" baseField="0" baseItem="0" numFmtId="3"/>
  </dataFields>
  <formats count="2">
    <format dxfId="16">
      <pivotArea type="all" dataOnly="0" outline="0" fieldPosition="0"/>
    </format>
    <format dxfId="15">
      <pivotArea type="all" dataOnly="0" outline="0" fieldPosition="0"/>
    </format>
  </formats>
  <pivotTableStyleInfo name="PivotStyleLight22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29" applyNumberFormats="0" applyBorderFormats="0" applyFontFormats="0" applyPatternFormats="0" applyAlignmentFormats="0" applyWidthHeightFormats="1" dataCaption="Data" errorCaption="(No Value)" showError="1" missingCaption="0" updatedVersion="8" useAutoFormatting="1" itemPrintTitles="1" createdVersion="4" rowHeaderCaption="Admission Item" colHeaderCaption="Invitees and Registrants">
  <location ref="A5:B8" firstHeaderRow="1" firstDataRow="1" firstDataCol="1"/>
  <pivotFields count="2">
    <pivotField axis="axisRow" compact="0" outline="0" subtotalTop="0" showAll="0" sortType="ascending">
      <items count="3">
        <item x="0"/>
        <item x="1"/>
        <item t="default"/>
      </items>
    </pivotField>
    <pivotField dataField="1" compact="0" outline="0" subtotalTop="0" showAl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Invitees and Registrants" fld="1" baseField="0" baseItem="0" numFmtId="3"/>
  </dataFields>
  <formats count="1">
    <format dxfId="17">
      <pivotArea type="all" dataOnly="0" outline="0" fieldPosition="0"/>
    </format>
  </formats>
  <pivotTableStyleInfo name="PivotStyleLight22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3000000}" name="Registration Type" cacheId="21" applyNumberFormats="0" applyBorderFormats="0" applyFontFormats="0" applyPatternFormats="0" applyAlignmentFormats="0" applyWidthHeightFormats="1" dataCaption="Data" errorCaption="(No Value)" showError="1" missingCaption="0" updatedVersion="8" useAutoFormatting="1" itemPrintTitles="1" createdVersion="4" rowHeaderCaption="Registration Type" colHeaderCaption="Invitees and Registrants">
  <location ref="A5:B13" firstHeaderRow="1" firstDataRow="1" firstDataCol="1"/>
  <pivotFields count="2">
    <pivotField axis="axisRow" compact="0" outline="0" subtotalTop="0" showAll="0" sortType="ascending">
      <items count="8">
        <item x="0"/>
        <item x="1"/>
        <item x="2"/>
        <item x="3"/>
        <item x="4"/>
        <item x="5"/>
        <item x="6"/>
        <item t="default"/>
      </items>
    </pivotField>
    <pivotField dataField="1" compact="0" outline="0" subtotalTop="0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Invitees and Registrants" fld="1" baseField="0" baseItem="0" numFmtId="3"/>
  </dataFields>
  <formats count="1">
    <format dxfId="12">
      <pivotArea type="all" dataOnly="0" outline="0" fieldPosition="0"/>
    </format>
  </formats>
  <pivotTableStyleInfo name="PivotStyleLight22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2000000}" name="PivotTable2" cacheId="17" applyNumberFormats="0" applyBorderFormats="0" applyFontFormats="0" applyPatternFormats="0" applyAlignmentFormats="0" applyWidthHeightFormats="1" dataCaption="Data" errorCaption="0" showError="1" missingCaption="0" updatedVersion="8" useAutoFormatting="1" itemPrintTitles="1" createdVersion="4" rowHeaderCaption="Registration Type" colHeaderCaption="Invitees and Registrants">
  <location ref="E5:F13" firstHeaderRow="1" firstDataRow="1" firstDataCol="1"/>
  <pivotFields count="2">
    <pivotField axis="axisRow" compact="0" outline="0" subtotalTop="0" showAll="0" sortType="ascending">
      <items count="8">
        <item x="0"/>
        <item x="1"/>
        <item x="2"/>
        <item x="3"/>
        <item x="4"/>
        <item x="5"/>
        <item x="6"/>
        <item t="default"/>
      </items>
    </pivotField>
    <pivotField dataField="1" compact="0" outline="0" subtotalTop="0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Invitees and Registrants" fld="1" showDataAs="percentOfCol" baseField="0" baseItem="0" numFmtId="3"/>
  </dataFields>
  <formats count="2">
    <format dxfId="14">
      <pivotArea type="all" dataOnly="0" outline="0" fieldPosition="0"/>
    </format>
    <format dxfId="13">
      <pivotArea type="all" dataOnly="0" outline="0" fieldPosition="0"/>
    </format>
  </formats>
  <pivotTableStyleInfo name="PivotStyleLight22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5000000}" name="Registration By State" cacheId="9" applyNumberFormats="0" applyBorderFormats="0" applyFontFormats="0" applyPatternFormats="0" applyAlignmentFormats="0" applyWidthHeightFormats="1" dataCaption="Data" errorCaption="0" showError="1" missingCaption="0" updatedVersion="8" useAutoFormatting="1" itemPrintTitles="1" createdVersion="4" rowHeaderCaption="NEA Affiliate" colHeaderCaption="Invitees and Registrants">
  <location ref="E5:F34" firstHeaderRow="1" firstDataRow="1" firstDataCol="1"/>
  <pivotFields count="2">
    <pivotField axis="axisRow" compact="0" outline="0" subtotalTop="0" showAll="0" sortType="ascending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</pivotField>
    <pivotField dataField="1" compact="0" outline="0" subtotalTop="0" showAll="0"/>
  </pivotFields>
  <rowFields count="1">
    <field x="0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Items count="1">
    <i/>
  </colItems>
  <dataFields count="1">
    <dataField name="Invitees and Registrants" fld="1" showDataAs="percentOfCol" baseField="0" baseItem="0" numFmtId="3"/>
  </dataFields>
  <formats count="2">
    <format dxfId="10">
      <pivotArea type="all" dataOnly="0" outline="0" fieldPosition="0"/>
    </format>
    <format dxfId="9">
      <pivotArea type="all" dataOnly="0" outline="0" fieldPosition="0"/>
    </format>
  </formats>
  <pivotTableStyleInfo name="PivotStyleLight22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4000000}" name="PivotTable3" cacheId="13" applyNumberFormats="0" applyBorderFormats="0" applyFontFormats="0" applyPatternFormats="0" applyAlignmentFormats="0" applyWidthHeightFormats="1" dataCaption="Data" errorCaption="(No Value)" showError="1" missingCaption="0" updatedVersion="8" useAutoFormatting="1" itemPrintTitles="1" createdVersion="4" rowHeaderCaption="NEA Affiliate" colHeaderCaption="Invitees and Registrants">
  <location ref="A5:B34" firstHeaderRow="1" firstDataRow="1" firstDataCol="1"/>
  <pivotFields count="2">
    <pivotField axis="axisRow" compact="0" outline="0" subtotalTop="0" showAll="0" sortType="ascending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</pivotField>
    <pivotField dataField="1" compact="0" outline="0" subtotalTop="0" showAll="0"/>
  </pivotFields>
  <rowFields count="1">
    <field x="0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Items count="1">
    <i/>
  </colItems>
  <dataFields count="1">
    <dataField name="Invitees and Registrants" fld="1" baseField="0" baseItem="0" numFmtId="3"/>
  </dataFields>
  <formats count="1">
    <format dxfId="11">
      <pivotArea type="all" dataOnly="0" outline="0" fieldPosition="0"/>
    </format>
  </formats>
  <pivotTableStyleInfo name="PivotStyleLight22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0:B22" totalsRowShown="0">
  <autoFilter ref="A20:B22" xr:uid="{00000000-0009-0000-0100-000001000000}"/>
  <tableColumns count="2">
    <tableColumn id="1" xr3:uid="{00000000-0010-0000-0000-000001000000}" name="Admission Item"/>
    <tableColumn id="2" xr3:uid="{00000000-0010-0000-0000-000002000000}" name="Invitees and Registrants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0:B27" totalsRowShown="0">
  <autoFilter ref="A20:B27" xr:uid="{00000000-0009-0000-0100-000002000000}"/>
  <tableColumns count="2">
    <tableColumn id="1" xr3:uid="{00000000-0010-0000-0100-000001000000}" name="Registration Type"/>
    <tableColumn id="2" xr3:uid="{00000000-0010-0000-0100-000002000000}" name="Invitees and Registrants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4:P230" totalsRowShown="0">
  <autoFilter ref="A4:P230" xr:uid="{00000000-0009-0000-0100-000003000000}"/>
  <tableColumns count="16">
    <tableColumn id="1" xr3:uid="{00000000-0010-0000-0200-000001000000}" name="Last Registration Date (GMT-05:00) Eastern [US &amp; Canada]"/>
    <tableColumn id="2" xr3:uid="{00000000-0010-0000-0200-000002000000}" name="Admission Item"/>
    <tableColumn id="3" xr3:uid="{00000000-0010-0000-0200-000003000000}" name="First Name"/>
    <tableColumn id="4" xr3:uid="{00000000-0010-0000-0200-000004000000}" name="Last Name"/>
    <tableColumn id="5" xr3:uid="{00000000-0010-0000-0200-000005000000}" name="Email Address"/>
    <tableColumn id="6" xr3:uid="{00000000-0010-0000-0200-000006000000}" name="NEA Affiliate"/>
    <tableColumn id="7" xr3:uid="{00000000-0010-0000-0200-000007000000}" name="Registration Type"/>
    <tableColumn id="8" xr3:uid="{00000000-0010-0000-0200-000008000000}" name="Higher ED (HE) institution (please spell out full name. No abbreviations):"/>
    <tableColumn id="9" xr3:uid="{00000000-0010-0000-0200-000009000000}" name="What is your role at your HE institution?"/>
    <tableColumn id="10" xr3:uid="{00000000-0010-0000-0200-00000A000000}" name="What type of HE institution are you affiliated with?"/>
    <tableColumn id="11" xr3:uid="{00000000-0010-0000-0200-00000B000000}" name="Gender Pronouns - Do Not Use"/>
    <tableColumn id="12" xr3:uid="{00000000-0010-0000-0200-00000C000000}" name="What is your Race/Ethnicity?"/>
    <tableColumn id="13" xr3:uid="{00000000-0010-0000-0200-00000D000000}" name="What is your sexual orientation?"/>
    <tableColumn id="14" xr3:uid="{00000000-0010-0000-0200-00000E000000}" name="Please select your gender identity"/>
    <tableColumn id="15" xr3:uid="{00000000-0010-0000-0200-00000F000000}" name="What is your age range?"/>
    <tableColumn id="16" xr3:uid="{00000000-0010-0000-0200-000010000000}" name="What is your career experience?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38:B67" totalsRowShown="0">
  <autoFilter ref="A38:B67" xr:uid="{00000000-0009-0000-0100-000004000000}"/>
  <tableColumns count="2">
    <tableColumn id="1" xr3:uid="{00000000-0010-0000-0300-000001000000}" name="NEA Affiliate"/>
    <tableColumn id="2" xr3:uid="{00000000-0010-0000-0300-000002000000}" name="Invitees and Registrants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38:B47" totalsRowShown="0">
  <autoFilter ref="A38:B47" xr:uid="{00000000-0009-0000-0100-000005000000}"/>
  <tableColumns count="2">
    <tableColumn id="1" xr3:uid="{00000000-0010-0000-0400-000001000000}" name="Last Registration Date"/>
    <tableColumn id="2" xr3:uid="{00000000-0010-0000-0400-000002000000}" name="Invitees and Registrant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1"/>
  <sheetViews>
    <sheetView tabSelected="1" workbookViewId="0"/>
  </sheetViews>
  <sheetFormatPr defaultRowHeight="12.5" x14ac:dyDescent="0.25"/>
  <cols>
    <col min="2" max="2" width="43.7265625" customWidth="1"/>
    <col min="3" max="3" width="2.7265625" customWidth="1"/>
    <col min="4" max="4" width="43.7265625" customWidth="1"/>
  </cols>
  <sheetData>
    <row r="2" spans="2:4" ht="37" customHeight="1" x14ac:dyDescent="0.25">
      <c r="B2" s="3" t="s">
        <v>898</v>
      </c>
      <c r="C2" s="2"/>
      <c r="D2" s="2"/>
    </row>
    <row r="3" spans="2:4" ht="14.5" x14ac:dyDescent="0.25">
      <c r="B3" s="16" t="s">
        <v>899</v>
      </c>
      <c r="D3" s="17" t="s">
        <v>900</v>
      </c>
    </row>
    <row r="4" spans="2:4" ht="14.5" x14ac:dyDescent="0.25">
      <c r="B4" s="18" t="s">
        <v>901</v>
      </c>
      <c r="D4" s="19" t="s">
        <v>902</v>
      </c>
    </row>
    <row r="5" spans="2:4" ht="14.5" x14ac:dyDescent="0.25">
      <c r="B5" s="18" t="s">
        <v>903</v>
      </c>
      <c r="D5" s="19" t="s">
        <v>904</v>
      </c>
    </row>
    <row r="6" spans="2:4" ht="14.5" x14ac:dyDescent="0.25">
      <c r="B6" s="18" t="s">
        <v>905</v>
      </c>
      <c r="D6" s="19" t="s">
        <v>906</v>
      </c>
    </row>
    <row r="7" spans="2:4" ht="14.5" x14ac:dyDescent="0.25">
      <c r="B7" s="18" t="s">
        <v>907</v>
      </c>
      <c r="D7" s="19" t="s">
        <v>908</v>
      </c>
    </row>
    <row r="8" spans="2:4" ht="14.5" x14ac:dyDescent="0.25">
      <c r="B8" s="18" t="s">
        <v>909</v>
      </c>
      <c r="D8" s="19" t="s">
        <v>910</v>
      </c>
    </row>
    <row r="9" spans="2:4" ht="14.5" x14ac:dyDescent="0.25">
      <c r="B9" s="18" t="s">
        <v>911</v>
      </c>
      <c r="D9" s="19" t="s">
        <v>910</v>
      </c>
    </row>
    <row r="10" spans="2:4" ht="14.5" x14ac:dyDescent="0.25">
      <c r="B10" s="18" t="s">
        <v>912</v>
      </c>
      <c r="D10" s="19" t="s">
        <v>913</v>
      </c>
    </row>
    <row r="11" spans="2:4" ht="14.5" x14ac:dyDescent="0.25">
      <c r="B11" s="18" t="s">
        <v>914</v>
      </c>
      <c r="D11" s="19" t="s">
        <v>915</v>
      </c>
    </row>
    <row r="12" spans="2:4" ht="14.5" x14ac:dyDescent="0.25">
      <c r="B12" s="18" t="s">
        <v>916</v>
      </c>
      <c r="D12" s="19" t="s">
        <v>454</v>
      </c>
    </row>
    <row r="13" spans="2:4" ht="14.5" x14ac:dyDescent="0.25">
      <c r="B13" s="18" t="s">
        <v>917</v>
      </c>
      <c r="D13" s="19" t="s">
        <v>918</v>
      </c>
    </row>
    <row r="16" spans="2:4" ht="20" customHeight="1" x14ac:dyDescent="0.25">
      <c r="B16" s="1" t="s">
        <v>919</v>
      </c>
      <c r="C16" s="2"/>
      <c r="D16" s="2"/>
    </row>
    <row r="17" spans="2:4" ht="29" customHeight="1" x14ac:dyDescent="0.25">
      <c r="B17" s="20" t="s">
        <v>1</v>
      </c>
      <c r="D17" s="21" t="s">
        <v>920</v>
      </c>
    </row>
    <row r="18" spans="2:4" ht="29" customHeight="1" x14ac:dyDescent="0.25">
      <c r="B18" s="22" t="s">
        <v>8</v>
      </c>
      <c r="D18" s="23" t="s">
        <v>920</v>
      </c>
    </row>
    <row r="19" spans="2:4" ht="29" customHeight="1" x14ac:dyDescent="0.25">
      <c r="B19" s="22" t="s">
        <v>921</v>
      </c>
      <c r="D19" s="23" t="s">
        <v>920</v>
      </c>
    </row>
    <row r="20" spans="2:4" ht="29" customHeight="1" x14ac:dyDescent="0.25">
      <c r="B20" s="22" t="s">
        <v>887</v>
      </c>
      <c r="D20" s="23" t="s">
        <v>920</v>
      </c>
    </row>
    <row r="21" spans="2:4" ht="29" customHeight="1" x14ac:dyDescent="0.25">
      <c r="B21" s="22" t="s">
        <v>922</v>
      </c>
      <c r="D21" s="23" t="s">
        <v>920</v>
      </c>
    </row>
  </sheetData>
  <mergeCells count="2">
    <mergeCell ref="B2:D2"/>
    <mergeCell ref="B16:D16"/>
  </mergeCells>
  <hyperlinks>
    <hyperlink ref="D17" location="'HBCU Admission Item'!A1" display="Link to corresponding sheet below" xr:uid="{00000000-0004-0000-0000-000000000000}"/>
    <hyperlink ref="D18" location="'Registration Type'!A1" display="Link to corresponding sheet below" xr:uid="{00000000-0004-0000-0000-000001000000}"/>
    <hyperlink ref="D19" location="'Registrants - 2025 NEA HBCU Sum'!A1" display="Link to corresponding sheet below" xr:uid="{00000000-0004-0000-0000-000002000000}"/>
    <hyperlink ref="D20" location="'Registration By State'!A1" display="Link to corresponding sheet below" xr:uid="{00000000-0004-0000-0000-000003000000}"/>
    <hyperlink ref="D21" location="'Registration Trend'!A1" display="Link to corresponding sheet below" xr:uid="{00000000-0004-0000-0000-000004000000}"/>
  </hyperlinks>
  <pageMargins left="0.75" right="0.75" top="1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/>
  </sheetViews>
  <sheetFormatPr defaultRowHeight="12.5" x14ac:dyDescent="0.25"/>
  <cols>
    <col min="1" max="1" width="80.1796875" bestFit="1" customWidth="1"/>
    <col min="2" max="2" width="22.81640625" bestFit="1" customWidth="1"/>
    <col min="5" max="5" width="80.1796875" bestFit="1" customWidth="1"/>
    <col min="6" max="6" width="22.81640625" bestFit="1" customWidth="1"/>
  </cols>
  <sheetData>
    <row r="1" spans="1:6" x14ac:dyDescent="0.25">
      <c r="A1" s="4" t="s">
        <v>0</v>
      </c>
    </row>
    <row r="4" spans="1:6" ht="23.5" x14ac:dyDescent="0.25">
      <c r="A4" s="13" t="s">
        <v>1</v>
      </c>
    </row>
    <row r="5" spans="1:6" ht="15.5" x14ac:dyDescent="0.35">
      <c r="A5" s="24" t="s">
        <v>4</v>
      </c>
      <c r="B5" s="12" t="s">
        <v>5</v>
      </c>
      <c r="E5" s="25" t="s">
        <v>4</v>
      </c>
      <c r="F5" s="26" t="s">
        <v>5</v>
      </c>
    </row>
    <row r="6" spans="1:6" ht="15.5" x14ac:dyDescent="0.35">
      <c r="A6" s="12" t="s">
        <v>2</v>
      </c>
      <c r="B6" s="7">
        <v>183</v>
      </c>
      <c r="E6" s="26" t="s">
        <v>2</v>
      </c>
      <c r="F6" s="26">
        <v>0.80973451327433632</v>
      </c>
    </row>
    <row r="7" spans="1:6" ht="15.5" x14ac:dyDescent="0.35">
      <c r="A7" s="12" t="s">
        <v>3</v>
      </c>
      <c r="B7" s="7">
        <v>43</v>
      </c>
      <c r="E7" s="26" t="s">
        <v>3</v>
      </c>
      <c r="F7" s="26">
        <v>0.19026548672566371</v>
      </c>
    </row>
    <row r="8" spans="1:6" ht="15.5" x14ac:dyDescent="0.35">
      <c r="A8" s="12" t="s">
        <v>7</v>
      </c>
      <c r="B8" s="7">
        <v>226</v>
      </c>
      <c r="E8" s="26" t="s">
        <v>7</v>
      </c>
      <c r="F8" s="26">
        <v>1</v>
      </c>
    </row>
    <row r="19" spans="1:2" ht="23.5" x14ac:dyDescent="0.25">
      <c r="A19" s="11" t="s">
        <v>6</v>
      </c>
    </row>
    <row r="20" spans="1:2" ht="17" x14ac:dyDescent="0.25">
      <c r="A20" s="10" t="s">
        <v>4</v>
      </c>
      <c r="B20" s="10" t="s">
        <v>5</v>
      </c>
    </row>
    <row r="21" spans="1:2" ht="15.5" x14ac:dyDescent="0.35">
      <c r="A21" s="6" t="s">
        <v>2</v>
      </c>
      <c r="B21" s="7">
        <v>183</v>
      </c>
    </row>
    <row r="22" spans="1:2" ht="15.5" x14ac:dyDescent="0.35">
      <c r="A22" s="8" t="s">
        <v>3</v>
      </c>
      <c r="B22" s="9">
        <v>43</v>
      </c>
    </row>
  </sheetData>
  <hyperlinks>
    <hyperlink ref="A1" location="'Event Information'!A1" display="Back to Table of Contents" xr:uid="{00000000-0004-0000-0100-000000000000}"/>
  </hyperlinks>
  <pageMargins left="0.75" right="0.75" top="1" bottom="1" header="0.5" footer="0.5"/>
  <pageSetup orientation="portrait"/>
  <headerFooter alignWithMargins="0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"/>
  <sheetViews>
    <sheetView workbookViewId="0"/>
  </sheetViews>
  <sheetFormatPr defaultRowHeight="12.5" x14ac:dyDescent="0.25"/>
  <cols>
    <col min="1" max="1" width="26.1796875" bestFit="1" customWidth="1"/>
    <col min="2" max="2" width="22.81640625" bestFit="1" customWidth="1"/>
    <col min="5" max="5" width="26.1796875" bestFit="1" customWidth="1"/>
    <col min="6" max="6" width="22.81640625" bestFit="1" customWidth="1"/>
  </cols>
  <sheetData>
    <row r="1" spans="1:6" x14ac:dyDescent="0.25">
      <c r="A1" s="4" t="s">
        <v>0</v>
      </c>
    </row>
    <row r="4" spans="1:6" ht="23.5" x14ac:dyDescent="0.25">
      <c r="A4" s="13" t="s">
        <v>8</v>
      </c>
    </row>
    <row r="5" spans="1:6" ht="15.5" x14ac:dyDescent="0.35">
      <c r="A5" s="24" t="s">
        <v>8</v>
      </c>
      <c r="B5" s="12" t="s">
        <v>5</v>
      </c>
      <c r="E5" s="25" t="s">
        <v>8</v>
      </c>
      <c r="F5" s="26" t="s">
        <v>5</v>
      </c>
    </row>
    <row r="6" spans="1:6" ht="15.5" x14ac:dyDescent="0.35">
      <c r="A6" s="12" t="s">
        <v>9</v>
      </c>
      <c r="B6" s="7">
        <v>86</v>
      </c>
      <c r="E6" s="26" t="s">
        <v>9</v>
      </c>
      <c r="F6" s="26">
        <v>0.38053097345132741</v>
      </c>
    </row>
    <row r="7" spans="1:6" ht="15.5" x14ac:dyDescent="0.35">
      <c r="A7" s="12" t="s">
        <v>10</v>
      </c>
      <c r="B7" s="7">
        <v>8</v>
      </c>
      <c r="E7" s="26" t="s">
        <v>10</v>
      </c>
      <c r="F7" s="26">
        <v>3.5398230088495575E-2</v>
      </c>
    </row>
    <row r="8" spans="1:6" ht="15.5" x14ac:dyDescent="0.35">
      <c r="A8" s="12" t="s">
        <v>11</v>
      </c>
      <c r="B8" s="7">
        <v>26</v>
      </c>
      <c r="E8" s="26" t="s">
        <v>11</v>
      </c>
      <c r="F8" s="26">
        <v>0.11504424778761062</v>
      </c>
    </row>
    <row r="9" spans="1:6" ht="15.5" x14ac:dyDescent="0.35">
      <c r="A9" s="12" t="s">
        <v>12</v>
      </c>
      <c r="B9" s="7">
        <v>69</v>
      </c>
      <c r="E9" s="26" t="s">
        <v>12</v>
      </c>
      <c r="F9" s="26">
        <v>0.30530973451327431</v>
      </c>
    </row>
    <row r="10" spans="1:6" ht="15.5" x14ac:dyDescent="0.35">
      <c r="A10" s="12" t="s">
        <v>13</v>
      </c>
      <c r="B10" s="7">
        <v>15</v>
      </c>
      <c r="E10" s="26" t="s">
        <v>13</v>
      </c>
      <c r="F10" s="26">
        <v>6.637168141592921E-2</v>
      </c>
    </row>
    <row r="11" spans="1:6" ht="15.5" x14ac:dyDescent="0.35">
      <c r="A11" s="12" t="s">
        <v>14</v>
      </c>
      <c r="B11" s="7">
        <v>10</v>
      </c>
      <c r="E11" s="26" t="s">
        <v>14</v>
      </c>
      <c r="F11" s="26">
        <v>4.4247787610619468E-2</v>
      </c>
    </row>
    <row r="12" spans="1:6" ht="15.5" x14ac:dyDescent="0.35">
      <c r="A12" s="12" t="s">
        <v>15</v>
      </c>
      <c r="B12" s="7">
        <v>12</v>
      </c>
      <c r="E12" s="26" t="s">
        <v>15</v>
      </c>
      <c r="F12" s="26">
        <v>5.3097345132743362E-2</v>
      </c>
    </row>
    <row r="13" spans="1:6" ht="15.5" x14ac:dyDescent="0.35">
      <c r="A13" s="12" t="s">
        <v>7</v>
      </c>
      <c r="B13" s="7">
        <v>226</v>
      </c>
      <c r="E13" s="26" t="s">
        <v>7</v>
      </c>
      <c r="F13" s="26">
        <v>1</v>
      </c>
    </row>
    <row r="19" spans="1:2" ht="23.5" x14ac:dyDescent="0.25">
      <c r="A19" s="11" t="s">
        <v>6</v>
      </c>
    </row>
    <row r="20" spans="1:2" ht="17" x14ac:dyDescent="0.25">
      <c r="A20" s="10" t="s">
        <v>8</v>
      </c>
      <c r="B20" s="10" t="s">
        <v>5</v>
      </c>
    </row>
    <row r="21" spans="1:2" ht="15.5" x14ac:dyDescent="0.35">
      <c r="A21" s="6" t="s">
        <v>9</v>
      </c>
      <c r="B21" s="7">
        <v>86</v>
      </c>
    </row>
    <row r="22" spans="1:2" ht="15.5" x14ac:dyDescent="0.35">
      <c r="A22" s="8" t="s">
        <v>10</v>
      </c>
      <c r="B22" s="9">
        <v>8</v>
      </c>
    </row>
    <row r="23" spans="1:2" ht="15.5" x14ac:dyDescent="0.35">
      <c r="A23" s="6" t="s">
        <v>11</v>
      </c>
      <c r="B23" s="7">
        <v>26</v>
      </c>
    </row>
    <row r="24" spans="1:2" ht="15.5" x14ac:dyDescent="0.35">
      <c r="A24" s="8" t="s">
        <v>12</v>
      </c>
      <c r="B24" s="9">
        <v>69</v>
      </c>
    </row>
    <row r="25" spans="1:2" ht="15.5" x14ac:dyDescent="0.35">
      <c r="A25" s="6" t="s">
        <v>13</v>
      </c>
      <c r="B25" s="7">
        <v>15</v>
      </c>
    </row>
    <row r="26" spans="1:2" ht="15.5" x14ac:dyDescent="0.35">
      <c r="A26" s="8" t="s">
        <v>14</v>
      </c>
      <c r="B26" s="9">
        <v>10</v>
      </c>
    </row>
    <row r="27" spans="1:2" ht="15.5" x14ac:dyDescent="0.35">
      <c r="A27" s="6" t="s">
        <v>15</v>
      </c>
      <c r="B27" s="7">
        <v>12</v>
      </c>
    </row>
  </sheetData>
  <hyperlinks>
    <hyperlink ref="A1" location="'Event Information'!A1" display="Back to Table of Contents" xr:uid="{00000000-0004-0000-0200-000000000000}"/>
  </hyperlinks>
  <pageMargins left="0.75" right="0.75" top="1" bottom="1" header="0.5" footer="0.5"/>
  <pageSetup orientation="portrait"/>
  <headerFooter alignWithMargins="0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30"/>
  <sheetViews>
    <sheetView workbookViewId="0"/>
  </sheetViews>
  <sheetFormatPr defaultRowHeight="12.5" x14ac:dyDescent="0.25"/>
  <cols>
    <col min="1" max="16" width="27.453125" customWidth="1"/>
  </cols>
  <sheetData>
    <row r="1" spans="1:16" x14ac:dyDescent="0.25">
      <c r="A1" s="4" t="s">
        <v>0</v>
      </c>
    </row>
    <row r="3" spans="1:16" ht="23.5" x14ac:dyDescent="0.25">
      <c r="A3" s="5" t="s">
        <v>16</v>
      </c>
    </row>
    <row r="4" spans="1:16" ht="51" x14ac:dyDescent="0.25">
      <c r="A4" s="10" t="s">
        <v>873</v>
      </c>
      <c r="B4" s="10" t="s">
        <v>4</v>
      </c>
      <c r="C4" s="10" t="s">
        <v>874</v>
      </c>
      <c r="D4" s="10" t="s">
        <v>875</v>
      </c>
      <c r="E4" s="10" t="s">
        <v>876</v>
      </c>
      <c r="F4" s="10" t="s">
        <v>877</v>
      </c>
      <c r="G4" s="10" t="s">
        <v>8</v>
      </c>
      <c r="H4" s="10" t="s">
        <v>878</v>
      </c>
      <c r="I4" s="10" t="s">
        <v>879</v>
      </c>
      <c r="J4" s="10" t="s">
        <v>880</v>
      </c>
      <c r="K4" s="10" t="s">
        <v>881</v>
      </c>
      <c r="L4" s="10" t="s">
        <v>882</v>
      </c>
      <c r="M4" s="10" t="s">
        <v>883</v>
      </c>
      <c r="N4" s="10" t="s">
        <v>884</v>
      </c>
      <c r="O4" s="10" t="s">
        <v>885</v>
      </c>
      <c r="P4" s="10" t="s">
        <v>886</v>
      </c>
    </row>
    <row r="5" spans="1:16" ht="31" x14ac:dyDescent="0.35">
      <c r="A5" s="14">
        <f>DATE(2025,9,17)+TIME(18,14,56)</f>
        <v>45917.760370370372</v>
      </c>
      <c r="B5" s="6" t="s">
        <v>2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12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  <c r="P5" s="6" t="s">
        <v>29</v>
      </c>
    </row>
    <row r="6" spans="1:16" ht="108.5" x14ac:dyDescent="0.35">
      <c r="A6" s="15">
        <f>DATE(2025,10,13)+TIME(9,6,28)</f>
        <v>45943.379490740743</v>
      </c>
      <c r="B6" s="8" t="s">
        <v>2</v>
      </c>
      <c r="C6" s="8" t="s">
        <v>30</v>
      </c>
      <c r="D6" s="8" t="s">
        <v>31</v>
      </c>
      <c r="E6" s="8" t="s">
        <v>32</v>
      </c>
      <c r="F6" s="8" t="s">
        <v>33</v>
      </c>
      <c r="G6" s="8" t="s">
        <v>9</v>
      </c>
      <c r="H6" s="8" t="s">
        <v>34</v>
      </c>
      <c r="I6" s="8" t="s">
        <v>35</v>
      </c>
      <c r="J6" s="8" t="s">
        <v>36</v>
      </c>
      <c r="K6" s="8" t="s">
        <v>24</v>
      </c>
      <c r="L6" s="8" t="s">
        <v>37</v>
      </c>
      <c r="M6" s="8" t="s">
        <v>26</v>
      </c>
      <c r="N6" s="8" t="s">
        <v>27</v>
      </c>
      <c r="O6" s="8" t="s">
        <v>38</v>
      </c>
      <c r="P6" s="8" t="s">
        <v>39</v>
      </c>
    </row>
    <row r="7" spans="1:16" ht="31" x14ac:dyDescent="0.35">
      <c r="A7" s="14">
        <f>DATE(2025,9,28)+TIME(22,23,29)</f>
        <v>45928.932974537034</v>
      </c>
      <c r="B7" s="6" t="s">
        <v>2</v>
      </c>
      <c r="C7" s="6" t="s">
        <v>40</v>
      </c>
      <c r="D7" s="6" t="s">
        <v>41</v>
      </c>
      <c r="E7" s="6" t="s">
        <v>42</v>
      </c>
      <c r="F7" s="6" t="s">
        <v>43</v>
      </c>
      <c r="G7" s="6" t="s">
        <v>9</v>
      </c>
      <c r="H7" s="6" t="s">
        <v>44</v>
      </c>
      <c r="I7" s="6" t="s">
        <v>45</v>
      </c>
      <c r="J7" s="6" t="s">
        <v>46</v>
      </c>
      <c r="K7" s="6" t="s">
        <v>47</v>
      </c>
      <c r="L7" s="6" t="s">
        <v>25</v>
      </c>
      <c r="M7" s="6" t="s">
        <v>26</v>
      </c>
      <c r="N7" s="6" t="s">
        <v>48</v>
      </c>
      <c r="O7" s="6" t="s">
        <v>49</v>
      </c>
      <c r="P7" s="6" t="s">
        <v>50</v>
      </c>
    </row>
    <row r="8" spans="1:16" ht="62" x14ac:dyDescent="0.35">
      <c r="A8" s="15">
        <f>DATE(2025,10,6)+TIME(10,50,16)</f>
        <v>45936.451574074075</v>
      </c>
      <c r="B8" s="8" t="s">
        <v>3</v>
      </c>
      <c r="C8" s="8" t="s">
        <v>51</v>
      </c>
      <c r="D8" s="8" t="s">
        <v>52</v>
      </c>
      <c r="E8" s="8" t="s">
        <v>53</v>
      </c>
      <c r="F8" s="8" t="s">
        <v>54</v>
      </c>
      <c r="G8" s="8" t="s">
        <v>12</v>
      </c>
      <c r="H8" s="8" t="s">
        <v>55</v>
      </c>
      <c r="I8" s="8" t="s">
        <v>56</v>
      </c>
      <c r="J8" s="8" t="s">
        <v>23</v>
      </c>
      <c r="K8" s="8" t="s">
        <v>24</v>
      </c>
      <c r="L8" s="8" t="s">
        <v>57</v>
      </c>
      <c r="M8" s="8" t="s">
        <v>26</v>
      </c>
      <c r="N8" s="8" t="s">
        <v>27</v>
      </c>
      <c r="O8" s="8" t="s">
        <v>58</v>
      </c>
      <c r="P8" s="8" t="s">
        <v>59</v>
      </c>
    </row>
    <row r="9" spans="1:16" ht="31" x14ac:dyDescent="0.35">
      <c r="A9" s="14">
        <f>DATE(2025,10,7)+TIME(20,33,26)</f>
        <v>45937.856550925928</v>
      </c>
      <c r="B9" s="6" t="s">
        <v>2</v>
      </c>
      <c r="C9" s="6" t="s">
        <v>60</v>
      </c>
      <c r="D9" s="6" t="s">
        <v>61</v>
      </c>
      <c r="E9" s="6" t="s">
        <v>62</v>
      </c>
      <c r="F9" s="6" t="s">
        <v>63</v>
      </c>
      <c r="G9" s="6" t="s">
        <v>11</v>
      </c>
      <c r="H9" s="6"/>
      <c r="I9" s="6"/>
      <c r="J9" s="6"/>
      <c r="K9" s="6" t="s">
        <v>24</v>
      </c>
      <c r="L9" s="6" t="s">
        <v>25</v>
      </c>
      <c r="M9" s="6" t="s">
        <v>26</v>
      </c>
      <c r="N9" s="6" t="s">
        <v>27</v>
      </c>
      <c r="O9" s="6" t="s">
        <v>64</v>
      </c>
      <c r="P9" s="6" t="s">
        <v>65</v>
      </c>
    </row>
    <row r="10" spans="1:16" ht="31" x14ac:dyDescent="0.35">
      <c r="A10" s="15">
        <f>DATE(2025,10,3)+TIME(14,57,27)</f>
        <v>45933.623229166667</v>
      </c>
      <c r="B10" s="8" t="s">
        <v>2</v>
      </c>
      <c r="C10" s="8" t="s">
        <v>66</v>
      </c>
      <c r="D10" s="8" t="s">
        <v>67</v>
      </c>
      <c r="E10" s="8" t="s">
        <v>68</v>
      </c>
      <c r="F10" s="8" t="s">
        <v>69</v>
      </c>
      <c r="G10" s="8" t="s">
        <v>12</v>
      </c>
      <c r="H10" s="8" t="s">
        <v>70</v>
      </c>
      <c r="I10" s="8" t="s">
        <v>71</v>
      </c>
      <c r="J10" s="8" t="s">
        <v>23</v>
      </c>
      <c r="K10" s="8" t="s">
        <v>24</v>
      </c>
      <c r="L10" s="8" t="s">
        <v>25</v>
      </c>
      <c r="M10" s="8" t="s">
        <v>26</v>
      </c>
      <c r="N10" s="8" t="s">
        <v>27</v>
      </c>
      <c r="O10" s="8" t="s">
        <v>64</v>
      </c>
      <c r="P10" s="8" t="s">
        <v>59</v>
      </c>
    </row>
    <row r="11" spans="1:16" ht="31" x14ac:dyDescent="0.35">
      <c r="A11" s="14">
        <f>DATE(2025,9,28)+TIME(23,37,0)</f>
        <v>45928.984027777777</v>
      </c>
      <c r="B11" s="6" t="s">
        <v>2</v>
      </c>
      <c r="C11" s="6" t="s">
        <v>72</v>
      </c>
      <c r="D11" s="6" t="s">
        <v>73</v>
      </c>
      <c r="E11" s="6" t="s">
        <v>74</v>
      </c>
      <c r="F11" s="6" t="s">
        <v>75</v>
      </c>
      <c r="G11" s="6" t="s">
        <v>9</v>
      </c>
      <c r="H11" s="6" t="s">
        <v>76</v>
      </c>
      <c r="I11" s="6" t="s">
        <v>45</v>
      </c>
      <c r="J11" s="6" t="s">
        <v>23</v>
      </c>
      <c r="K11" s="6" t="s">
        <v>24</v>
      </c>
      <c r="L11" s="6" t="s">
        <v>25</v>
      </c>
      <c r="M11" s="6" t="s">
        <v>47</v>
      </c>
      <c r="N11" s="6" t="s">
        <v>27</v>
      </c>
      <c r="O11" s="6" t="s">
        <v>49</v>
      </c>
      <c r="P11" s="6" t="s">
        <v>50</v>
      </c>
    </row>
    <row r="12" spans="1:16" ht="46.5" x14ac:dyDescent="0.35">
      <c r="A12" s="15">
        <f>DATE(2025,9,28)+TIME(10,25,6)</f>
        <v>45928.43409722222</v>
      </c>
      <c r="B12" s="8" t="s">
        <v>2</v>
      </c>
      <c r="C12" s="8" t="s">
        <v>77</v>
      </c>
      <c r="D12" s="8" t="s">
        <v>78</v>
      </c>
      <c r="E12" s="8" t="s">
        <v>79</v>
      </c>
      <c r="F12" s="8" t="s">
        <v>75</v>
      </c>
      <c r="G12" s="8" t="s">
        <v>9</v>
      </c>
      <c r="H12" s="8" t="s">
        <v>80</v>
      </c>
      <c r="I12" s="8" t="s">
        <v>45</v>
      </c>
      <c r="J12" s="8" t="s">
        <v>23</v>
      </c>
      <c r="K12" s="8" t="s">
        <v>24</v>
      </c>
      <c r="L12" s="8" t="s">
        <v>25</v>
      </c>
      <c r="M12" s="8" t="s">
        <v>47</v>
      </c>
      <c r="N12" s="8" t="s">
        <v>27</v>
      </c>
      <c r="O12" s="8" t="s">
        <v>49</v>
      </c>
      <c r="P12" s="8" t="s">
        <v>50</v>
      </c>
    </row>
    <row r="13" spans="1:16" ht="62" x14ac:dyDescent="0.35">
      <c r="A13" s="14">
        <f>DATE(2025,9,22)+TIME(16,19,7)</f>
        <v>45922.679942129631</v>
      </c>
      <c r="B13" s="6" t="s">
        <v>3</v>
      </c>
      <c r="C13" s="6" t="s">
        <v>81</v>
      </c>
      <c r="D13" s="6" t="s">
        <v>82</v>
      </c>
      <c r="E13" s="6" t="s">
        <v>83</v>
      </c>
      <c r="F13" s="6" t="s">
        <v>84</v>
      </c>
      <c r="G13" s="6" t="s">
        <v>10</v>
      </c>
      <c r="H13" s="6" t="s">
        <v>85</v>
      </c>
      <c r="I13" s="6" t="s">
        <v>86</v>
      </c>
      <c r="J13" s="6" t="s">
        <v>87</v>
      </c>
      <c r="K13" s="6" t="s">
        <v>88</v>
      </c>
      <c r="L13" s="6" t="s">
        <v>25</v>
      </c>
      <c r="M13" s="6" t="s">
        <v>89</v>
      </c>
      <c r="N13" s="6" t="s">
        <v>48</v>
      </c>
      <c r="O13" s="6" t="s">
        <v>58</v>
      </c>
      <c r="P13" s="6" t="s">
        <v>59</v>
      </c>
    </row>
    <row r="14" spans="1:16" ht="31" x14ac:dyDescent="0.35">
      <c r="A14" s="15">
        <f>DATE(2025,10,8)+TIME(13,7,24)</f>
        <v>45938.546805555554</v>
      </c>
      <c r="B14" s="8" t="s">
        <v>2</v>
      </c>
      <c r="C14" s="8" t="s">
        <v>90</v>
      </c>
      <c r="D14" s="8" t="s">
        <v>91</v>
      </c>
      <c r="E14" s="8" t="s">
        <v>92</v>
      </c>
      <c r="F14" s="8" t="s">
        <v>93</v>
      </c>
      <c r="G14" s="8" t="s">
        <v>13</v>
      </c>
      <c r="H14" s="8" t="s">
        <v>94</v>
      </c>
      <c r="I14" s="8" t="s">
        <v>45</v>
      </c>
      <c r="J14" s="8" t="s">
        <v>46</v>
      </c>
      <c r="K14" s="8" t="s">
        <v>24</v>
      </c>
      <c r="L14" s="8" t="s">
        <v>25</v>
      </c>
      <c r="M14" s="8" t="s">
        <v>26</v>
      </c>
      <c r="N14" s="8" t="s">
        <v>27</v>
      </c>
      <c r="O14" s="8" t="s">
        <v>49</v>
      </c>
      <c r="P14" s="8" t="s">
        <v>39</v>
      </c>
    </row>
    <row r="15" spans="1:16" ht="31" x14ac:dyDescent="0.35">
      <c r="A15" s="14">
        <f>DATE(2025,10,8)+TIME(15,13,7)</f>
        <v>45938.634108796294</v>
      </c>
      <c r="B15" s="6" t="s">
        <v>2</v>
      </c>
      <c r="C15" s="6" t="s">
        <v>95</v>
      </c>
      <c r="D15" s="6" t="s">
        <v>96</v>
      </c>
      <c r="E15" s="6" t="s">
        <v>97</v>
      </c>
      <c r="F15" s="6" t="s">
        <v>98</v>
      </c>
      <c r="G15" s="6" t="s">
        <v>9</v>
      </c>
      <c r="H15" s="6" t="s">
        <v>99</v>
      </c>
      <c r="I15" s="6" t="s">
        <v>100</v>
      </c>
      <c r="J15" s="6" t="s">
        <v>23</v>
      </c>
      <c r="K15" s="6" t="s">
        <v>24</v>
      </c>
      <c r="L15" s="6" t="s">
        <v>25</v>
      </c>
      <c r="M15" s="6" t="s">
        <v>26</v>
      </c>
      <c r="N15" s="6" t="s">
        <v>27</v>
      </c>
      <c r="O15" s="6" t="s">
        <v>49</v>
      </c>
      <c r="P15" s="6" t="s">
        <v>39</v>
      </c>
    </row>
    <row r="16" spans="1:16" ht="31" x14ac:dyDescent="0.35">
      <c r="A16" s="15">
        <f>DATE(2025,10,9)+TIME(11,30,32)</f>
        <v>45939.479537037034</v>
      </c>
      <c r="B16" s="8" t="s">
        <v>2</v>
      </c>
      <c r="C16" s="8" t="s">
        <v>101</v>
      </c>
      <c r="D16" s="8" t="s">
        <v>102</v>
      </c>
      <c r="E16" s="8" t="s">
        <v>103</v>
      </c>
      <c r="F16" s="8" t="s">
        <v>54</v>
      </c>
      <c r="G16" s="8" t="s">
        <v>12</v>
      </c>
      <c r="H16" s="8" t="s">
        <v>55</v>
      </c>
      <c r="I16" s="8" t="s">
        <v>104</v>
      </c>
      <c r="J16" s="8" t="s">
        <v>23</v>
      </c>
      <c r="K16" s="8" t="s">
        <v>24</v>
      </c>
      <c r="L16" s="8" t="s">
        <v>25</v>
      </c>
      <c r="M16" s="8"/>
      <c r="N16" s="8" t="s">
        <v>27</v>
      </c>
      <c r="O16" s="8" t="s">
        <v>64</v>
      </c>
      <c r="P16" s="8" t="s">
        <v>39</v>
      </c>
    </row>
    <row r="17" spans="1:16" ht="62" x14ac:dyDescent="0.35">
      <c r="A17" s="14">
        <f>DATE(2025,9,22)+TIME(16,51,13)</f>
        <v>45922.702233796299</v>
      </c>
      <c r="B17" s="6" t="s">
        <v>3</v>
      </c>
      <c r="C17" s="6" t="s">
        <v>105</v>
      </c>
      <c r="D17" s="6" t="s">
        <v>106</v>
      </c>
      <c r="E17" s="6" t="s">
        <v>107</v>
      </c>
      <c r="F17" s="6" t="s">
        <v>84</v>
      </c>
      <c r="G17" s="6" t="s">
        <v>13</v>
      </c>
      <c r="H17" s="6" t="s">
        <v>108</v>
      </c>
      <c r="I17" s="6" t="s">
        <v>45</v>
      </c>
      <c r="J17" s="6" t="s">
        <v>109</v>
      </c>
      <c r="K17" s="6" t="s">
        <v>24</v>
      </c>
      <c r="L17" s="6" t="s">
        <v>25</v>
      </c>
      <c r="M17" s="6" t="s">
        <v>26</v>
      </c>
      <c r="N17" s="6" t="s">
        <v>27</v>
      </c>
      <c r="O17" s="6" t="s">
        <v>38</v>
      </c>
      <c r="P17" s="6" t="s">
        <v>50</v>
      </c>
    </row>
    <row r="18" spans="1:16" ht="31" x14ac:dyDescent="0.35">
      <c r="A18" s="15">
        <f>DATE(2025,10,16)+TIME(13,6,9)</f>
        <v>45946.545937499999</v>
      </c>
      <c r="B18" s="8" t="s">
        <v>2</v>
      </c>
      <c r="C18" s="8" t="s">
        <v>110</v>
      </c>
      <c r="D18" s="8" t="s">
        <v>111</v>
      </c>
      <c r="E18" s="8" t="s">
        <v>112</v>
      </c>
      <c r="F18" s="8" t="s">
        <v>75</v>
      </c>
      <c r="G18" s="8" t="s">
        <v>9</v>
      </c>
      <c r="H18" s="8" t="s">
        <v>75</v>
      </c>
      <c r="I18" s="8" t="s">
        <v>86</v>
      </c>
      <c r="J18" s="8" t="s">
        <v>113</v>
      </c>
      <c r="K18" s="8" t="s">
        <v>88</v>
      </c>
      <c r="L18" s="8" t="s">
        <v>25</v>
      </c>
      <c r="M18" s="8" t="s">
        <v>26</v>
      </c>
      <c r="N18" s="8" t="s">
        <v>48</v>
      </c>
      <c r="O18" s="8" t="s">
        <v>38</v>
      </c>
      <c r="P18" s="8" t="s">
        <v>114</v>
      </c>
    </row>
    <row r="19" spans="1:16" ht="15.5" x14ac:dyDescent="0.35">
      <c r="A19" s="14">
        <f>DATE(2025,10,30)+TIME(17,39,31)</f>
        <v>45960.735775462963</v>
      </c>
      <c r="B19" s="6" t="s">
        <v>2</v>
      </c>
      <c r="C19" s="6" t="s">
        <v>115</v>
      </c>
      <c r="D19" s="6" t="s">
        <v>116</v>
      </c>
      <c r="E19" s="6" t="s">
        <v>117</v>
      </c>
      <c r="F19" s="6" t="s">
        <v>118</v>
      </c>
      <c r="G19" s="6" t="s">
        <v>14</v>
      </c>
      <c r="H19" s="6" t="s">
        <v>119</v>
      </c>
      <c r="I19" s="6"/>
      <c r="J19" s="6"/>
      <c r="K19" s="6"/>
      <c r="L19" s="6"/>
      <c r="M19" s="6"/>
      <c r="N19" s="6"/>
      <c r="O19" s="6"/>
      <c r="P19" s="6"/>
    </row>
    <row r="20" spans="1:16" ht="31" x14ac:dyDescent="0.35">
      <c r="A20" s="15">
        <f>DATE(2025,10,9)+TIME(9,11,30)</f>
        <v>45939.382986111108</v>
      </c>
      <c r="B20" s="8" t="s">
        <v>2</v>
      </c>
      <c r="C20" s="8" t="s">
        <v>120</v>
      </c>
      <c r="D20" s="8" t="s">
        <v>121</v>
      </c>
      <c r="E20" s="8" t="s">
        <v>122</v>
      </c>
      <c r="F20" s="8" t="s">
        <v>123</v>
      </c>
      <c r="G20" s="8" t="s">
        <v>12</v>
      </c>
      <c r="H20" s="8" t="s">
        <v>124</v>
      </c>
      <c r="I20" s="8" t="s">
        <v>125</v>
      </c>
      <c r="J20" s="8" t="s">
        <v>23</v>
      </c>
      <c r="K20" s="8" t="s">
        <v>24</v>
      </c>
      <c r="L20" s="8" t="s">
        <v>57</v>
      </c>
      <c r="M20" s="8" t="s">
        <v>26</v>
      </c>
      <c r="N20" s="8" t="s">
        <v>27</v>
      </c>
      <c r="O20" s="8" t="s">
        <v>64</v>
      </c>
      <c r="P20" s="8" t="s">
        <v>50</v>
      </c>
    </row>
    <row r="21" spans="1:16" ht="62" x14ac:dyDescent="0.35">
      <c r="A21" s="14">
        <f>DATE(2025,10,15)+TIME(14,46,36)</f>
        <v>45945.615694444445</v>
      </c>
      <c r="B21" s="6" t="s">
        <v>3</v>
      </c>
      <c r="C21" s="6" t="s">
        <v>126</v>
      </c>
      <c r="D21" s="6" t="s">
        <v>127</v>
      </c>
      <c r="E21" s="6" t="s">
        <v>128</v>
      </c>
      <c r="F21" s="6" t="s">
        <v>129</v>
      </c>
      <c r="G21" s="6" t="s">
        <v>12</v>
      </c>
      <c r="H21" s="6" t="s">
        <v>130</v>
      </c>
      <c r="I21" s="6" t="s">
        <v>125</v>
      </c>
      <c r="J21" s="6" t="s">
        <v>23</v>
      </c>
      <c r="K21" s="6" t="s">
        <v>24</v>
      </c>
      <c r="L21" s="6" t="s">
        <v>25</v>
      </c>
      <c r="M21" s="6" t="s">
        <v>26</v>
      </c>
      <c r="N21" s="6" t="s">
        <v>27</v>
      </c>
      <c r="O21" s="6" t="s">
        <v>64</v>
      </c>
      <c r="P21" s="6" t="s">
        <v>65</v>
      </c>
    </row>
    <row r="22" spans="1:16" ht="46.5" x14ac:dyDescent="0.35">
      <c r="A22" s="15">
        <f>DATE(2025,10,27)+TIME(15,11,3)</f>
        <v>45957.632673611108</v>
      </c>
      <c r="B22" s="8" t="s">
        <v>2</v>
      </c>
      <c r="C22" s="8" t="s">
        <v>131</v>
      </c>
      <c r="D22" s="8" t="s">
        <v>132</v>
      </c>
      <c r="E22" s="8" t="s">
        <v>133</v>
      </c>
      <c r="F22" s="8" t="s">
        <v>33</v>
      </c>
      <c r="G22" s="8" t="s">
        <v>15</v>
      </c>
      <c r="H22" s="8" t="s">
        <v>134</v>
      </c>
      <c r="I22" s="8" t="s">
        <v>125</v>
      </c>
      <c r="J22" s="8" t="s">
        <v>135</v>
      </c>
      <c r="K22" s="8"/>
      <c r="L22" s="8"/>
      <c r="M22" s="8"/>
      <c r="N22" s="8"/>
      <c r="O22" s="8"/>
      <c r="P22" s="8"/>
    </row>
    <row r="23" spans="1:16" ht="31" x14ac:dyDescent="0.35">
      <c r="A23" s="14">
        <f>DATE(2025,9,28)+TIME(11,5,21)</f>
        <v>45928.462048611109</v>
      </c>
      <c r="B23" s="6" t="s">
        <v>2</v>
      </c>
      <c r="C23" s="6" t="s">
        <v>136</v>
      </c>
      <c r="D23" s="6" t="s">
        <v>137</v>
      </c>
      <c r="E23" s="6" t="s">
        <v>138</v>
      </c>
      <c r="F23" s="6" t="s">
        <v>75</v>
      </c>
      <c r="G23" s="6" t="s">
        <v>9</v>
      </c>
      <c r="H23" s="6" t="s">
        <v>76</v>
      </c>
      <c r="I23" s="6" t="s">
        <v>45</v>
      </c>
      <c r="J23" s="6" t="s">
        <v>23</v>
      </c>
      <c r="K23" s="6" t="s">
        <v>88</v>
      </c>
      <c r="L23" s="6" t="s">
        <v>139</v>
      </c>
      <c r="M23" s="6" t="s">
        <v>47</v>
      </c>
      <c r="N23" s="6" t="s">
        <v>48</v>
      </c>
      <c r="O23" s="6" t="s">
        <v>38</v>
      </c>
      <c r="P23" s="6" t="s">
        <v>50</v>
      </c>
    </row>
    <row r="24" spans="1:16" ht="31" x14ac:dyDescent="0.35">
      <c r="A24" s="15">
        <f>DATE(2025,10,23)+TIME(22,23,53)</f>
        <v>45953.933252314811</v>
      </c>
      <c r="B24" s="8" t="s">
        <v>2</v>
      </c>
      <c r="C24" s="8" t="s">
        <v>140</v>
      </c>
      <c r="D24" s="8" t="s">
        <v>141</v>
      </c>
      <c r="E24" s="8" t="s">
        <v>142</v>
      </c>
      <c r="F24" s="8" t="s">
        <v>63</v>
      </c>
      <c r="G24" s="8" t="s">
        <v>11</v>
      </c>
      <c r="H24" s="8"/>
      <c r="I24" s="8"/>
      <c r="J24" s="8"/>
      <c r="K24" s="8" t="s">
        <v>24</v>
      </c>
      <c r="L24" s="8" t="s">
        <v>37</v>
      </c>
      <c r="M24" s="8" t="s">
        <v>143</v>
      </c>
      <c r="N24" s="8" t="s">
        <v>27</v>
      </c>
      <c r="O24" s="8" t="s">
        <v>38</v>
      </c>
      <c r="P24" s="8" t="s">
        <v>144</v>
      </c>
    </row>
    <row r="25" spans="1:16" ht="31" x14ac:dyDescent="0.35">
      <c r="A25" s="14">
        <f>DATE(2025,10,6)+TIME(12,50,50)</f>
        <v>45936.535300925927</v>
      </c>
      <c r="B25" s="6" t="s">
        <v>2</v>
      </c>
      <c r="C25" s="6" t="s">
        <v>145</v>
      </c>
      <c r="D25" s="6" t="s">
        <v>146</v>
      </c>
      <c r="E25" s="6" t="s">
        <v>147</v>
      </c>
      <c r="F25" s="6" t="s">
        <v>118</v>
      </c>
      <c r="G25" s="6" t="s">
        <v>15</v>
      </c>
      <c r="H25" s="6" t="s">
        <v>148</v>
      </c>
      <c r="I25" s="6" t="s">
        <v>149</v>
      </c>
      <c r="J25" s="6" t="s">
        <v>150</v>
      </c>
      <c r="K25" s="6" t="s">
        <v>151</v>
      </c>
      <c r="L25" s="6" t="s">
        <v>25</v>
      </c>
      <c r="M25" s="6" t="s">
        <v>152</v>
      </c>
      <c r="N25" s="6" t="s">
        <v>153</v>
      </c>
      <c r="O25" s="6" t="s">
        <v>58</v>
      </c>
      <c r="P25" s="6" t="s">
        <v>59</v>
      </c>
    </row>
    <row r="26" spans="1:16" ht="31" x14ac:dyDescent="0.35">
      <c r="A26" s="15">
        <f>DATE(2025,10,7)+TIME(18,7,55)</f>
        <v>45937.755497685182</v>
      </c>
      <c r="B26" s="8" t="s">
        <v>2</v>
      </c>
      <c r="C26" s="8" t="s">
        <v>154</v>
      </c>
      <c r="D26" s="8" t="s">
        <v>155</v>
      </c>
      <c r="E26" s="8" t="s">
        <v>156</v>
      </c>
      <c r="F26" s="8" t="s">
        <v>93</v>
      </c>
      <c r="G26" s="8" t="s">
        <v>9</v>
      </c>
      <c r="H26" s="8" t="s">
        <v>157</v>
      </c>
      <c r="I26" s="8" t="s">
        <v>45</v>
      </c>
      <c r="J26" s="8" t="s">
        <v>23</v>
      </c>
      <c r="K26" s="8" t="s">
        <v>24</v>
      </c>
      <c r="L26" s="8" t="s">
        <v>25</v>
      </c>
      <c r="M26" s="8"/>
      <c r="N26" s="8" t="s">
        <v>27</v>
      </c>
      <c r="O26" s="8" t="s">
        <v>49</v>
      </c>
      <c r="P26" s="8" t="s">
        <v>50</v>
      </c>
    </row>
    <row r="27" spans="1:16" ht="31" x14ac:dyDescent="0.35">
      <c r="A27" s="14">
        <f>DATE(2025,10,2)+TIME(14,41,28)</f>
        <v>45932.612129629626</v>
      </c>
      <c r="B27" s="6" t="s">
        <v>2</v>
      </c>
      <c r="C27" s="6" t="s">
        <v>158</v>
      </c>
      <c r="D27" s="6" t="s">
        <v>159</v>
      </c>
      <c r="E27" s="6" t="s">
        <v>160</v>
      </c>
      <c r="F27" s="6" t="s">
        <v>161</v>
      </c>
      <c r="G27" s="6" t="s">
        <v>12</v>
      </c>
      <c r="H27" s="6" t="s">
        <v>162</v>
      </c>
      <c r="I27" s="6" t="s">
        <v>163</v>
      </c>
      <c r="J27" s="6" t="s">
        <v>164</v>
      </c>
      <c r="K27" s="6" t="s">
        <v>24</v>
      </c>
      <c r="L27" s="6" t="s">
        <v>57</v>
      </c>
      <c r="M27" s="6" t="s">
        <v>26</v>
      </c>
      <c r="N27" s="6" t="s">
        <v>27</v>
      </c>
      <c r="O27" s="6" t="s">
        <v>28</v>
      </c>
      <c r="P27" s="6" t="s">
        <v>29</v>
      </c>
    </row>
    <row r="28" spans="1:16" ht="31" x14ac:dyDescent="0.35">
      <c r="A28" s="15">
        <f>DATE(2025,10,7)+TIME(16,32,56)</f>
        <v>45937.68953703704</v>
      </c>
      <c r="B28" s="8" t="s">
        <v>2</v>
      </c>
      <c r="C28" s="8" t="s">
        <v>165</v>
      </c>
      <c r="D28" s="8" t="s">
        <v>166</v>
      </c>
      <c r="E28" s="8" t="s">
        <v>167</v>
      </c>
      <c r="F28" s="8" t="s">
        <v>63</v>
      </c>
      <c r="G28" s="8" t="s">
        <v>11</v>
      </c>
      <c r="H28" s="8"/>
      <c r="I28" s="8"/>
      <c r="J28" s="8"/>
      <c r="K28" s="8" t="s">
        <v>24</v>
      </c>
      <c r="L28" s="8" t="s">
        <v>25</v>
      </c>
      <c r="M28" s="8" t="s">
        <v>47</v>
      </c>
      <c r="N28" s="8" t="s">
        <v>27</v>
      </c>
      <c r="O28" s="8" t="s">
        <v>38</v>
      </c>
      <c r="P28" s="8" t="s">
        <v>114</v>
      </c>
    </row>
    <row r="29" spans="1:16" ht="31" x14ac:dyDescent="0.35">
      <c r="A29" s="14">
        <f>DATE(2025,9,17)+TIME(11,12,31)</f>
        <v>45917.46702546296</v>
      </c>
      <c r="B29" s="6" t="s">
        <v>2</v>
      </c>
      <c r="C29" s="6" t="s">
        <v>168</v>
      </c>
      <c r="D29" s="6" t="s">
        <v>169</v>
      </c>
      <c r="E29" s="6" t="s">
        <v>170</v>
      </c>
      <c r="F29" s="6" t="s">
        <v>20</v>
      </c>
      <c r="G29" s="6" t="s">
        <v>12</v>
      </c>
      <c r="H29" s="6" t="s">
        <v>21</v>
      </c>
      <c r="I29" s="6" t="s">
        <v>125</v>
      </c>
      <c r="J29" s="6" t="s">
        <v>23</v>
      </c>
      <c r="K29" s="6" t="s">
        <v>88</v>
      </c>
      <c r="L29" s="6" t="s">
        <v>25</v>
      </c>
      <c r="M29" s="6" t="s">
        <v>26</v>
      </c>
      <c r="N29" s="6" t="s">
        <v>48</v>
      </c>
      <c r="O29" s="6" t="s">
        <v>28</v>
      </c>
      <c r="P29" s="6" t="s">
        <v>171</v>
      </c>
    </row>
    <row r="30" spans="1:16" ht="46.5" x14ac:dyDescent="0.35">
      <c r="A30" s="15">
        <f>DATE(2025,10,13)+TIME(15,0,31)</f>
        <v>45943.625358796293</v>
      </c>
      <c r="B30" s="8" t="s">
        <v>2</v>
      </c>
      <c r="C30" s="8" t="s">
        <v>172</v>
      </c>
      <c r="D30" s="8" t="s">
        <v>173</v>
      </c>
      <c r="E30" s="8" t="s">
        <v>174</v>
      </c>
      <c r="F30" s="8" t="s">
        <v>175</v>
      </c>
      <c r="G30" s="8" t="s">
        <v>9</v>
      </c>
      <c r="H30" s="8" t="s">
        <v>176</v>
      </c>
      <c r="I30" s="8" t="s">
        <v>45</v>
      </c>
      <c r="J30" s="8" t="s">
        <v>109</v>
      </c>
      <c r="K30" s="8" t="s">
        <v>24</v>
      </c>
      <c r="L30" s="8" t="s">
        <v>25</v>
      </c>
      <c r="M30" s="8" t="s">
        <v>26</v>
      </c>
      <c r="N30" s="8" t="s">
        <v>27</v>
      </c>
      <c r="O30" s="8" t="s">
        <v>49</v>
      </c>
      <c r="P30" s="8" t="s">
        <v>39</v>
      </c>
    </row>
    <row r="31" spans="1:16" ht="31" x14ac:dyDescent="0.35">
      <c r="A31" s="14">
        <f>DATE(2025,10,3)+TIME(16,5,45)</f>
        <v>45933.670659722222</v>
      </c>
      <c r="B31" s="6" t="s">
        <v>2</v>
      </c>
      <c r="C31" s="6" t="s">
        <v>177</v>
      </c>
      <c r="D31" s="6" t="s">
        <v>178</v>
      </c>
      <c r="E31" s="6" t="s">
        <v>179</v>
      </c>
      <c r="F31" s="6" t="s">
        <v>69</v>
      </c>
      <c r="G31" s="6" t="s">
        <v>9</v>
      </c>
      <c r="H31" s="6" t="s">
        <v>70</v>
      </c>
      <c r="I31" s="6" t="s">
        <v>45</v>
      </c>
      <c r="J31" s="6" t="s">
        <v>23</v>
      </c>
      <c r="K31" s="6" t="s">
        <v>24</v>
      </c>
      <c r="L31" s="6" t="s">
        <v>25</v>
      </c>
      <c r="M31" s="6" t="s">
        <v>26</v>
      </c>
      <c r="N31" s="6" t="s">
        <v>27</v>
      </c>
      <c r="O31" s="6" t="s">
        <v>58</v>
      </c>
      <c r="P31" s="6" t="s">
        <v>50</v>
      </c>
    </row>
    <row r="32" spans="1:16" ht="31" x14ac:dyDescent="0.35">
      <c r="A32" s="15">
        <f>DATE(2025,10,8)+TIME(18,13,53)</f>
        <v>45938.759641203702</v>
      </c>
      <c r="B32" s="8" t="s">
        <v>2</v>
      </c>
      <c r="C32" s="8" t="s">
        <v>180</v>
      </c>
      <c r="D32" s="8" t="s">
        <v>181</v>
      </c>
      <c r="E32" s="8" t="s">
        <v>182</v>
      </c>
      <c r="F32" s="8" t="s">
        <v>118</v>
      </c>
      <c r="G32" s="8" t="s">
        <v>14</v>
      </c>
      <c r="H32" s="8" t="s">
        <v>183</v>
      </c>
      <c r="I32" s="8" t="s">
        <v>184</v>
      </c>
      <c r="J32" s="8" t="s">
        <v>23</v>
      </c>
      <c r="K32" s="8" t="s">
        <v>88</v>
      </c>
      <c r="L32" s="8" t="s">
        <v>25</v>
      </c>
      <c r="M32" s="8" t="s">
        <v>26</v>
      </c>
      <c r="N32" s="8" t="s">
        <v>48</v>
      </c>
      <c r="O32" s="8" t="s">
        <v>64</v>
      </c>
      <c r="P32" s="8" t="s">
        <v>29</v>
      </c>
    </row>
    <row r="33" spans="1:16" ht="31" x14ac:dyDescent="0.35">
      <c r="A33" s="14">
        <f>DATE(2025,10,17)+TIME(14,52,38)</f>
        <v>45947.619884259257</v>
      </c>
      <c r="B33" s="6" t="s">
        <v>2</v>
      </c>
      <c r="C33" s="6" t="s">
        <v>185</v>
      </c>
      <c r="D33" s="6" t="s">
        <v>186</v>
      </c>
      <c r="E33" s="6" t="s">
        <v>187</v>
      </c>
      <c r="F33" s="6" t="s">
        <v>69</v>
      </c>
      <c r="G33" s="6" t="s">
        <v>9</v>
      </c>
      <c r="H33" s="6" t="s">
        <v>188</v>
      </c>
      <c r="I33" s="6" t="s">
        <v>189</v>
      </c>
      <c r="J33" s="6" t="s">
        <v>23</v>
      </c>
      <c r="K33" s="6" t="s">
        <v>88</v>
      </c>
      <c r="L33" s="6" t="s">
        <v>25</v>
      </c>
      <c r="M33" s="6" t="s">
        <v>26</v>
      </c>
      <c r="N33" s="6" t="s">
        <v>48</v>
      </c>
      <c r="O33" s="6" t="s">
        <v>49</v>
      </c>
      <c r="P33" s="6" t="s">
        <v>39</v>
      </c>
    </row>
    <row r="34" spans="1:16" ht="31" x14ac:dyDescent="0.35">
      <c r="A34" s="15">
        <f>DATE(2025,10,14)+TIME(16,50,15)</f>
        <v>45944.701562499999</v>
      </c>
      <c r="B34" s="8" t="s">
        <v>2</v>
      </c>
      <c r="C34" s="8" t="s">
        <v>190</v>
      </c>
      <c r="D34" s="8" t="s">
        <v>191</v>
      </c>
      <c r="E34" s="8" t="s">
        <v>192</v>
      </c>
      <c r="F34" s="8" t="s">
        <v>63</v>
      </c>
      <c r="G34" s="8" t="s">
        <v>11</v>
      </c>
      <c r="H34" s="8"/>
      <c r="I34" s="8"/>
      <c r="J34" s="8"/>
      <c r="K34" s="8" t="s">
        <v>24</v>
      </c>
      <c r="L34" s="8" t="s">
        <v>25</v>
      </c>
      <c r="M34" s="8" t="s">
        <v>26</v>
      </c>
      <c r="N34" s="8" t="s">
        <v>27</v>
      </c>
      <c r="O34" s="8" t="s">
        <v>64</v>
      </c>
      <c r="P34" s="8" t="s">
        <v>65</v>
      </c>
    </row>
    <row r="35" spans="1:16" ht="31" x14ac:dyDescent="0.35">
      <c r="A35" s="14">
        <f>DATE(2025,10,8)+TIME(13,38,56)</f>
        <v>45938.568703703706</v>
      </c>
      <c r="B35" s="6" t="s">
        <v>2</v>
      </c>
      <c r="C35" s="6" t="s">
        <v>193</v>
      </c>
      <c r="D35" s="6" t="s">
        <v>194</v>
      </c>
      <c r="E35" s="6" t="s">
        <v>195</v>
      </c>
      <c r="F35" s="6" t="s">
        <v>63</v>
      </c>
      <c r="G35" s="6" t="s">
        <v>13</v>
      </c>
      <c r="H35" s="6" t="s">
        <v>94</v>
      </c>
      <c r="I35" s="6" t="s">
        <v>45</v>
      </c>
      <c r="J35" s="6" t="s">
        <v>46</v>
      </c>
      <c r="K35" s="6" t="s">
        <v>88</v>
      </c>
      <c r="L35" s="6" t="s">
        <v>25</v>
      </c>
      <c r="M35" s="6" t="s">
        <v>196</v>
      </c>
      <c r="N35" s="6" t="s">
        <v>48</v>
      </c>
      <c r="O35" s="6" t="s">
        <v>49</v>
      </c>
      <c r="P35" s="6" t="s">
        <v>39</v>
      </c>
    </row>
    <row r="36" spans="1:16" ht="46.5" x14ac:dyDescent="0.35">
      <c r="A36" s="15">
        <f>DATE(2025,10,16)+TIME(19,26,36)</f>
        <v>45946.81013888889</v>
      </c>
      <c r="B36" s="8" t="s">
        <v>2</v>
      </c>
      <c r="C36" s="8" t="s">
        <v>197</v>
      </c>
      <c r="D36" s="8" t="s">
        <v>78</v>
      </c>
      <c r="E36" s="8" t="s">
        <v>198</v>
      </c>
      <c r="F36" s="8" t="s">
        <v>199</v>
      </c>
      <c r="G36" s="8" t="s">
        <v>9</v>
      </c>
      <c r="H36" s="8" t="s">
        <v>200</v>
      </c>
      <c r="I36" s="8" t="s">
        <v>45</v>
      </c>
      <c r="J36" s="8" t="s">
        <v>135</v>
      </c>
      <c r="K36" s="8" t="s">
        <v>24</v>
      </c>
      <c r="L36" s="8" t="s">
        <v>25</v>
      </c>
      <c r="M36" s="8" t="s">
        <v>26</v>
      </c>
      <c r="N36" s="8" t="s">
        <v>27</v>
      </c>
      <c r="O36" s="8" t="s">
        <v>49</v>
      </c>
      <c r="P36" s="8" t="s">
        <v>39</v>
      </c>
    </row>
    <row r="37" spans="1:16" ht="31" x14ac:dyDescent="0.35">
      <c r="A37" s="14">
        <f>DATE(2025,9,27)+TIME(9,58,11)</f>
        <v>45927.415405092594</v>
      </c>
      <c r="B37" s="6" t="s">
        <v>2</v>
      </c>
      <c r="C37" s="6" t="s">
        <v>201</v>
      </c>
      <c r="D37" s="6" t="s">
        <v>202</v>
      </c>
      <c r="E37" s="6" t="s">
        <v>203</v>
      </c>
      <c r="F37" s="6" t="s">
        <v>75</v>
      </c>
      <c r="G37" s="6" t="s">
        <v>9</v>
      </c>
      <c r="H37" s="6" t="s">
        <v>204</v>
      </c>
      <c r="I37" s="6" t="s">
        <v>45</v>
      </c>
      <c r="J37" s="6" t="s">
        <v>23</v>
      </c>
      <c r="K37" s="6" t="s">
        <v>24</v>
      </c>
      <c r="L37" s="6" t="s">
        <v>25</v>
      </c>
      <c r="M37" s="6" t="s">
        <v>47</v>
      </c>
      <c r="N37" s="6" t="s">
        <v>27</v>
      </c>
      <c r="O37" s="6" t="s">
        <v>49</v>
      </c>
      <c r="P37" s="6" t="s">
        <v>50</v>
      </c>
    </row>
    <row r="38" spans="1:16" ht="46.5" x14ac:dyDescent="0.35">
      <c r="A38" s="15">
        <f>DATE(2025,10,14)+TIME(16,50,27)</f>
        <v>45944.701701388891</v>
      </c>
      <c r="B38" s="8" t="s">
        <v>2</v>
      </c>
      <c r="C38" s="8" t="s">
        <v>205</v>
      </c>
      <c r="D38" s="8" t="s">
        <v>206</v>
      </c>
      <c r="E38" s="8" t="s">
        <v>207</v>
      </c>
      <c r="F38" s="8" t="s">
        <v>129</v>
      </c>
      <c r="G38" s="8" t="s">
        <v>9</v>
      </c>
      <c r="H38" s="8" t="s">
        <v>130</v>
      </c>
      <c r="I38" s="8" t="s">
        <v>45</v>
      </c>
      <c r="J38" s="8" t="s">
        <v>135</v>
      </c>
      <c r="K38" s="8" t="s">
        <v>24</v>
      </c>
      <c r="L38" s="8" t="s">
        <v>25</v>
      </c>
      <c r="M38" s="8"/>
      <c r="N38" s="8" t="s">
        <v>27</v>
      </c>
      <c r="O38" s="8" t="s">
        <v>49</v>
      </c>
      <c r="P38" s="8" t="s">
        <v>39</v>
      </c>
    </row>
    <row r="39" spans="1:16" ht="31" x14ac:dyDescent="0.35">
      <c r="A39" s="14">
        <f>DATE(2025,10,2)+TIME(10,32,5)</f>
        <v>45932.438946759263</v>
      </c>
      <c r="B39" s="6" t="s">
        <v>2</v>
      </c>
      <c r="C39" s="6" t="s">
        <v>208</v>
      </c>
      <c r="D39" s="6" t="s">
        <v>209</v>
      </c>
      <c r="E39" s="6" t="s">
        <v>210</v>
      </c>
      <c r="F39" s="6" t="s">
        <v>98</v>
      </c>
      <c r="G39" s="6" t="s">
        <v>9</v>
      </c>
      <c r="H39" s="6" t="s">
        <v>211</v>
      </c>
      <c r="I39" s="6" t="s">
        <v>45</v>
      </c>
      <c r="J39" s="6" t="s">
        <v>23</v>
      </c>
      <c r="K39" s="6" t="s">
        <v>24</v>
      </c>
      <c r="L39" s="6" t="s">
        <v>25</v>
      </c>
      <c r="M39" s="6"/>
      <c r="N39" s="6" t="s">
        <v>27</v>
      </c>
      <c r="O39" s="6" t="s">
        <v>49</v>
      </c>
      <c r="P39" s="6" t="s">
        <v>50</v>
      </c>
    </row>
    <row r="40" spans="1:16" ht="31" x14ac:dyDescent="0.35">
      <c r="A40" s="15">
        <f>DATE(2025,10,24)+TIME(12,54,35)</f>
        <v>45954.537905092591</v>
      </c>
      <c r="B40" s="8" t="s">
        <v>2</v>
      </c>
      <c r="C40" s="8" t="s">
        <v>212</v>
      </c>
      <c r="D40" s="8" t="s">
        <v>213</v>
      </c>
      <c r="E40" s="8" t="s">
        <v>214</v>
      </c>
      <c r="F40" s="8" t="s">
        <v>118</v>
      </c>
      <c r="G40" s="8" t="s">
        <v>15</v>
      </c>
      <c r="H40" s="8"/>
      <c r="I40" s="8"/>
      <c r="J40" s="8"/>
      <c r="K40" s="8"/>
      <c r="L40" s="8"/>
      <c r="M40" s="8"/>
      <c r="N40" s="8"/>
      <c r="O40" s="8"/>
      <c r="P40" s="8"/>
    </row>
    <row r="41" spans="1:16" ht="31" x14ac:dyDescent="0.35">
      <c r="A41" s="14">
        <f>DATE(2025,10,8)+TIME(13,21,13)</f>
        <v>45938.556400462963</v>
      </c>
      <c r="B41" s="6" t="s">
        <v>2</v>
      </c>
      <c r="C41" s="6" t="s">
        <v>215</v>
      </c>
      <c r="D41" s="6" t="s">
        <v>216</v>
      </c>
      <c r="E41" s="6" t="s">
        <v>217</v>
      </c>
      <c r="F41" s="6" t="s">
        <v>43</v>
      </c>
      <c r="G41" s="6" t="s">
        <v>12</v>
      </c>
      <c r="H41" s="6" t="s">
        <v>218</v>
      </c>
      <c r="I41" s="6" t="s">
        <v>163</v>
      </c>
      <c r="J41" s="6" t="s">
        <v>23</v>
      </c>
      <c r="K41" s="6" t="s">
        <v>24</v>
      </c>
      <c r="L41" s="6" t="s">
        <v>25</v>
      </c>
      <c r="M41" s="6" t="s">
        <v>26</v>
      </c>
      <c r="N41" s="6" t="s">
        <v>27</v>
      </c>
      <c r="O41" s="6" t="s">
        <v>64</v>
      </c>
      <c r="P41" s="6" t="s">
        <v>59</v>
      </c>
    </row>
    <row r="42" spans="1:16" ht="46.5" x14ac:dyDescent="0.35">
      <c r="A42" s="15">
        <f>DATE(2025,10,8)+TIME(18,57,56)</f>
        <v>45938.790231481478</v>
      </c>
      <c r="B42" s="8" t="s">
        <v>2</v>
      </c>
      <c r="C42" s="8" t="s">
        <v>219</v>
      </c>
      <c r="D42" s="8" t="s">
        <v>220</v>
      </c>
      <c r="E42" s="8" t="s">
        <v>221</v>
      </c>
      <c r="F42" s="8" t="s">
        <v>98</v>
      </c>
      <c r="G42" s="8" t="s">
        <v>9</v>
      </c>
      <c r="H42" s="8" t="s">
        <v>222</v>
      </c>
      <c r="I42" s="8" t="s">
        <v>45</v>
      </c>
      <c r="J42" s="8" t="s">
        <v>135</v>
      </c>
      <c r="K42" s="8" t="s">
        <v>88</v>
      </c>
      <c r="L42" s="8" t="s">
        <v>25</v>
      </c>
      <c r="M42" s="8" t="s">
        <v>47</v>
      </c>
      <c r="N42" s="8" t="s">
        <v>48</v>
      </c>
      <c r="O42" s="8" t="s">
        <v>49</v>
      </c>
      <c r="P42" s="8" t="s">
        <v>39</v>
      </c>
    </row>
    <row r="43" spans="1:16" ht="46.5" x14ac:dyDescent="0.35">
      <c r="A43" s="14">
        <f>DATE(2025,10,8)+TIME(15,19,24)</f>
        <v>45938.638472222221</v>
      </c>
      <c r="B43" s="6" t="s">
        <v>2</v>
      </c>
      <c r="C43" s="6" t="s">
        <v>223</v>
      </c>
      <c r="D43" s="6" t="s">
        <v>224</v>
      </c>
      <c r="E43" s="6" t="s">
        <v>225</v>
      </c>
      <c r="F43" s="6" t="s">
        <v>118</v>
      </c>
      <c r="G43" s="6" t="s">
        <v>14</v>
      </c>
      <c r="H43" s="6" t="s">
        <v>226</v>
      </c>
      <c r="I43" s="6" t="s">
        <v>227</v>
      </c>
      <c r="J43" s="6" t="s">
        <v>228</v>
      </c>
      <c r="K43" s="6" t="s">
        <v>24</v>
      </c>
      <c r="L43" s="6" t="s">
        <v>25</v>
      </c>
      <c r="M43" s="6" t="s">
        <v>47</v>
      </c>
      <c r="N43" s="6" t="s">
        <v>27</v>
      </c>
      <c r="O43" s="6" t="s">
        <v>38</v>
      </c>
      <c r="P43" s="6" t="s">
        <v>114</v>
      </c>
    </row>
    <row r="44" spans="1:16" ht="31" x14ac:dyDescent="0.35">
      <c r="A44" s="15">
        <f>DATE(2025,10,15)+TIME(9,18,35)</f>
        <v>45945.38790509259</v>
      </c>
      <c r="B44" s="8" t="s">
        <v>2</v>
      </c>
      <c r="C44" s="8" t="s">
        <v>229</v>
      </c>
      <c r="D44" s="8" t="s">
        <v>230</v>
      </c>
      <c r="E44" s="8" t="s">
        <v>231</v>
      </c>
      <c r="F44" s="8" t="s">
        <v>98</v>
      </c>
      <c r="G44" s="8" t="s">
        <v>9</v>
      </c>
      <c r="H44" s="8" t="s">
        <v>99</v>
      </c>
      <c r="I44" s="8" t="s">
        <v>45</v>
      </c>
      <c r="J44" s="8" t="s">
        <v>46</v>
      </c>
      <c r="K44" s="8" t="s">
        <v>24</v>
      </c>
      <c r="L44" s="8" t="s">
        <v>25</v>
      </c>
      <c r="M44" s="8"/>
      <c r="N44" s="8" t="s">
        <v>27</v>
      </c>
      <c r="O44" s="8" t="s">
        <v>49</v>
      </c>
      <c r="P44" s="8" t="s">
        <v>39</v>
      </c>
    </row>
    <row r="45" spans="1:16" ht="46.5" x14ac:dyDescent="0.35">
      <c r="A45" s="14">
        <f>DATE(2025,9,28)+TIME(10,20,16)</f>
        <v>45928.43074074074</v>
      </c>
      <c r="B45" s="6" t="s">
        <v>2</v>
      </c>
      <c r="C45" s="6" t="s">
        <v>232</v>
      </c>
      <c r="D45" s="6" t="s">
        <v>233</v>
      </c>
      <c r="E45" s="6" t="s">
        <v>234</v>
      </c>
      <c r="F45" s="6" t="s">
        <v>75</v>
      </c>
      <c r="G45" s="6" t="s">
        <v>9</v>
      </c>
      <c r="H45" s="6" t="s">
        <v>80</v>
      </c>
      <c r="I45" s="6" t="s">
        <v>45</v>
      </c>
      <c r="J45" s="6" t="s">
        <v>23</v>
      </c>
      <c r="K45" s="6" t="s">
        <v>24</v>
      </c>
      <c r="L45" s="6" t="s">
        <v>25</v>
      </c>
      <c r="M45" s="6" t="s">
        <v>47</v>
      </c>
      <c r="N45" s="6" t="s">
        <v>27</v>
      </c>
      <c r="O45" s="6" t="s">
        <v>49</v>
      </c>
      <c r="P45" s="6" t="s">
        <v>50</v>
      </c>
    </row>
    <row r="46" spans="1:16" ht="62" x14ac:dyDescent="0.35">
      <c r="A46" s="15">
        <f>DATE(2025,9,26)+TIME(13,22,31)</f>
        <v>45926.557303240741</v>
      </c>
      <c r="B46" s="8" t="s">
        <v>3</v>
      </c>
      <c r="C46" s="8" t="s">
        <v>235</v>
      </c>
      <c r="D46" s="8" t="s">
        <v>236</v>
      </c>
      <c r="E46" s="8" t="s">
        <v>237</v>
      </c>
      <c r="F46" s="8" t="s">
        <v>84</v>
      </c>
      <c r="G46" s="8" t="s">
        <v>13</v>
      </c>
      <c r="H46" s="8" t="s">
        <v>238</v>
      </c>
      <c r="I46" s="8" t="s">
        <v>45</v>
      </c>
      <c r="J46" s="8" t="s">
        <v>135</v>
      </c>
      <c r="K46" s="8" t="s">
        <v>88</v>
      </c>
      <c r="L46" s="8" t="s">
        <v>25</v>
      </c>
      <c r="M46" s="8" t="s">
        <v>26</v>
      </c>
      <c r="N46" s="8" t="s">
        <v>48</v>
      </c>
      <c r="O46" s="8" t="s">
        <v>49</v>
      </c>
      <c r="P46" s="8" t="s">
        <v>50</v>
      </c>
    </row>
    <row r="47" spans="1:16" ht="31" x14ac:dyDescent="0.35">
      <c r="A47" s="14">
        <f>DATE(2025,10,17)+TIME(16,12,38)</f>
        <v>45947.675439814811</v>
      </c>
      <c r="B47" s="6" t="s">
        <v>2</v>
      </c>
      <c r="C47" s="6" t="s">
        <v>239</v>
      </c>
      <c r="D47" s="6" t="s">
        <v>240</v>
      </c>
      <c r="E47" s="6" t="s">
        <v>241</v>
      </c>
      <c r="F47" s="6" t="s">
        <v>175</v>
      </c>
      <c r="G47" s="6" t="s">
        <v>9</v>
      </c>
      <c r="H47" s="6" t="s">
        <v>242</v>
      </c>
      <c r="I47" s="6" t="s">
        <v>45</v>
      </c>
      <c r="J47" s="6" t="s">
        <v>243</v>
      </c>
      <c r="K47" s="6" t="s">
        <v>24</v>
      </c>
      <c r="L47" s="6" t="s">
        <v>25</v>
      </c>
      <c r="M47" s="6" t="s">
        <v>26</v>
      </c>
      <c r="N47" s="6" t="s">
        <v>27</v>
      </c>
      <c r="O47" s="6" t="s">
        <v>58</v>
      </c>
      <c r="P47" s="6" t="s">
        <v>50</v>
      </c>
    </row>
    <row r="48" spans="1:16" ht="31" x14ac:dyDescent="0.35">
      <c r="A48" s="15">
        <f>DATE(2025,10,13)+TIME(19,44,9)</f>
        <v>45943.822326388887</v>
      </c>
      <c r="B48" s="8" t="s">
        <v>2</v>
      </c>
      <c r="C48" s="8" t="s">
        <v>244</v>
      </c>
      <c r="D48" s="8" t="s">
        <v>245</v>
      </c>
      <c r="E48" s="8" t="s">
        <v>246</v>
      </c>
      <c r="F48" s="8" t="s">
        <v>93</v>
      </c>
      <c r="G48" s="8" t="s">
        <v>12</v>
      </c>
      <c r="H48" s="8" t="s">
        <v>247</v>
      </c>
      <c r="I48" s="8" t="s">
        <v>248</v>
      </c>
      <c r="J48" s="8" t="s">
        <v>249</v>
      </c>
      <c r="K48" s="8" t="s">
        <v>24</v>
      </c>
      <c r="L48" s="8" t="s">
        <v>25</v>
      </c>
      <c r="M48" s="8" t="s">
        <v>26</v>
      </c>
      <c r="N48" s="8" t="s">
        <v>27</v>
      </c>
      <c r="O48" s="8" t="s">
        <v>64</v>
      </c>
      <c r="P48" s="8" t="s">
        <v>114</v>
      </c>
    </row>
    <row r="49" spans="1:16" ht="62" x14ac:dyDescent="0.35">
      <c r="A49" s="14">
        <f>DATE(2025,10,24)+TIME(11,24,30)</f>
        <v>45954.475347222222</v>
      </c>
      <c r="B49" s="6" t="s">
        <v>3</v>
      </c>
      <c r="C49" s="6" t="s">
        <v>250</v>
      </c>
      <c r="D49" s="6" t="s">
        <v>251</v>
      </c>
      <c r="E49" s="6" t="s">
        <v>252</v>
      </c>
      <c r="F49" s="6" t="s">
        <v>253</v>
      </c>
      <c r="G49" s="6" t="s">
        <v>12</v>
      </c>
      <c r="H49" s="6" t="s">
        <v>254</v>
      </c>
      <c r="I49" s="6"/>
      <c r="J49" s="6"/>
      <c r="K49" s="6" t="s">
        <v>255</v>
      </c>
      <c r="L49" s="6" t="s">
        <v>256</v>
      </c>
      <c r="M49" s="6" t="s">
        <v>257</v>
      </c>
      <c r="N49" s="6" t="s">
        <v>27</v>
      </c>
      <c r="O49" s="6" t="s">
        <v>64</v>
      </c>
      <c r="P49" s="6" t="s">
        <v>144</v>
      </c>
    </row>
    <row r="50" spans="1:16" ht="31" x14ac:dyDescent="0.35">
      <c r="A50" s="15">
        <f>DATE(2025,10,11)+TIME(12,13,9)</f>
        <v>45941.509131944447</v>
      </c>
      <c r="B50" s="8" t="s">
        <v>2</v>
      </c>
      <c r="C50" s="8" t="s">
        <v>258</v>
      </c>
      <c r="D50" s="8" t="s">
        <v>259</v>
      </c>
      <c r="E50" s="8" t="s">
        <v>260</v>
      </c>
      <c r="F50" s="8" t="s">
        <v>63</v>
      </c>
      <c r="G50" s="8" t="s">
        <v>11</v>
      </c>
      <c r="H50" s="8"/>
      <c r="I50" s="8"/>
      <c r="J50" s="8"/>
      <c r="K50" s="8" t="s">
        <v>24</v>
      </c>
      <c r="L50" s="8" t="s">
        <v>57</v>
      </c>
      <c r="M50" s="8" t="s">
        <v>26</v>
      </c>
      <c r="N50" s="8" t="s">
        <v>27</v>
      </c>
      <c r="O50" s="8" t="s">
        <v>64</v>
      </c>
      <c r="P50" s="8" t="s">
        <v>29</v>
      </c>
    </row>
    <row r="51" spans="1:16" ht="46.5" x14ac:dyDescent="0.35">
      <c r="A51" s="14">
        <f>DATE(2025,9,27)+TIME(10,4,53)</f>
        <v>45927.420057870368</v>
      </c>
      <c r="B51" s="6" t="s">
        <v>2</v>
      </c>
      <c r="C51" s="6" t="s">
        <v>261</v>
      </c>
      <c r="D51" s="6" t="s">
        <v>262</v>
      </c>
      <c r="E51" s="6" t="s">
        <v>263</v>
      </c>
      <c r="F51" s="6" t="s">
        <v>75</v>
      </c>
      <c r="G51" s="6" t="s">
        <v>9</v>
      </c>
      <c r="H51" s="6" t="s">
        <v>80</v>
      </c>
      <c r="I51" s="6" t="s">
        <v>45</v>
      </c>
      <c r="J51" s="6" t="s">
        <v>23</v>
      </c>
      <c r="K51" s="6" t="s">
        <v>24</v>
      </c>
      <c r="L51" s="6" t="s">
        <v>25</v>
      </c>
      <c r="M51" s="6" t="s">
        <v>47</v>
      </c>
      <c r="N51" s="6" t="s">
        <v>27</v>
      </c>
      <c r="O51" s="6" t="s">
        <v>49</v>
      </c>
      <c r="P51" s="6" t="s">
        <v>50</v>
      </c>
    </row>
    <row r="52" spans="1:16" ht="31" x14ac:dyDescent="0.35">
      <c r="A52" s="15">
        <f>DATE(2025,10,16)+TIME(12,55,16)</f>
        <v>45946.53837962963</v>
      </c>
      <c r="B52" s="8" t="s">
        <v>2</v>
      </c>
      <c r="C52" s="8" t="s">
        <v>264</v>
      </c>
      <c r="D52" s="8" t="s">
        <v>265</v>
      </c>
      <c r="E52" s="8" t="s">
        <v>266</v>
      </c>
      <c r="F52" s="8" t="s">
        <v>63</v>
      </c>
      <c r="G52" s="8" t="s">
        <v>11</v>
      </c>
      <c r="H52" s="8"/>
      <c r="I52" s="8"/>
      <c r="J52" s="8"/>
      <c r="K52" s="8" t="s">
        <v>88</v>
      </c>
      <c r="L52" s="8" t="s">
        <v>57</v>
      </c>
      <c r="M52" s="8" t="s">
        <v>196</v>
      </c>
      <c r="N52" s="8" t="s">
        <v>48</v>
      </c>
      <c r="O52" s="8" t="s">
        <v>58</v>
      </c>
      <c r="P52" s="8" t="s">
        <v>114</v>
      </c>
    </row>
    <row r="53" spans="1:16" ht="31" x14ac:dyDescent="0.35">
      <c r="A53" s="14">
        <f>DATE(2025,10,16)+TIME(17,11,18)</f>
        <v>45946.716180555559</v>
      </c>
      <c r="B53" s="6" t="s">
        <v>2</v>
      </c>
      <c r="C53" s="6" t="s">
        <v>267</v>
      </c>
      <c r="D53" s="6" t="s">
        <v>268</v>
      </c>
      <c r="E53" s="6" t="s">
        <v>269</v>
      </c>
      <c r="F53" s="6" t="s">
        <v>175</v>
      </c>
      <c r="G53" s="6" t="s">
        <v>9</v>
      </c>
      <c r="H53" s="6" t="s">
        <v>270</v>
      </c>
      <c r="I53" s="6" t="s">
        <v>45</v>
      </c>
      <c r="J53" s="6" t="s">
        <v>23</v>
      </c>
      <c r="K53" s="6" t="s">
        <v>24</v>
      </c>
      <c r="L53" s="6" t="s">
        <v>37</v>
      </c>
      <c r="M53" s="6" t="s">
        <v>26</v>
      </c>
      <c r="N53" s="6" t="s">
        <v>27</v>
      </c>
      <c r="O53" s="6" t="s">
        <v>58</v>
      </c>
      <c r="P53" s="6" t="s">
        <v>39</v>
      </c>
    </row>
    <row r="54" spans="1:16" ht="46.5" x14ac:dyDescent="0.35">
      <c r="A54" s="15">
        <f>DATE(2025,10,6)+TIME(20,1,42)</f>
        <v>45936.834513888891</v>
      </c>
      <c r="B54" s="8" t="s">
        <v>2</v>
      </c>
      <c r="C54" s="8" t="s">
        <v>271</v>
      </c>
      <c r="D54" s="8" t="s">
        <v>272</v>
      </c>
      <c r="E54" s="8" t="s">
        <v>273</v>
      </c>
      <c r="F54" s="8" t="s">
        <v>75</v>
      </c>
      <c r="G54" s="8" t="s">
        <v>9</v>
      </c>
      <c r="H54" s="8" t="s">
        <v>76</v>
      </c>
      <c r="I54" s="8" t="s">
        <v>104</v>
      </c>
      <c r="J54" s="8" t="s">
        <v>109</v>
      </c>
      <c r="K54" s="8" t="s">
        <v>88</v>
      </c>
      <c r="L54" s="8" t="s">
        <v>25</v>
      </c>
      <c r="M54" s="8" t="s">
        <v>196</v>
      </c>
      <c r="N54" s="8" t="s">
        <v>48</v>
      </c>
      <c r="O54" s="8" t="s">
        <v>58</v>
      </c>
      <c r="P54" s="8" t="s">
        <v>114</v>
      </c>
    </row>
    <row r="55" spans="1:16" ht="31" x14ac:dyDescent="0.35">
      <c r="A55" s="14">
        <f>DATE(2025,9,19)+TIME(13,35,50)</f>
        <v>45919.566550925927</v>
      </c>
      <c r="B55" s="6" t="s">
        <v>2</v>
      </c>
      <c r="C55" s="6" t="s">
        <v>274</v>
      </c>
      <c r="D55" s="6" t="s">
        <v>78</v>
      </c>
      <c r="E55" s="6" t="s">
        <v>275</v>
      </c>
      <c r="F55" s="6" t="s">
        <v>20</v>
      </c>
      <c r="G55" s="6" t="s">
        <v>12</v>
      </c>
      <c r="H55" s="6" t="s">
        <v>21</v>
      </c>
      <c r="I55" s="6" t="s">
        <v>125</v>
      </c>
      <c r="J55" s="6" t="s">
        <v>46</v>
      </c>
      <c r="K55" s="6" t="s">
        <v>24</v>
      </c>
      <c r="L55" s="6" t="s">
        <v>25</v>
      </c>
      <c r="M55" s="6" t="s">
        <v>26</v>
      </c>
      <c r="N55" s="6" t="s">
        <v>27</v>
      </c>
      <c r="O55" s="6" t="s">
        <v>64</v>
      </c>
      <c r="P55" s="6" t="s">
        <v>65</v>
      </c>
    </row>
    <row r="56" spans="1:16" ht="31" x14ac:dyDescent="0.35">
      <c r="A56" s="15">
        <f>DATE(2025,10,16)+TIME(0,58,7)</f>
        <v>45946.040358796294</v>
      </c>
      <c r="B56" s="8" t="s">
        <v>2</v>
      </c>
      <c r="C56" s="8" t="s">
        <v>276</v>
      </c>
      <c r="D56" s="8" t="s">
        <v>277</v>
      </c>
      <c r="E56" s="8" t="s">
        <v>278</v>
      </c>
      <c r="F56" s="8" t="s">
        <v>175</v>
      </c>
      <c r="G56" s="8" t="s">
        <v>12</v>
      </c>
      <c r="H56" s="8" t="s">
        <v>279</v>
      </c>
      <c r="I56" s="8" t="s">
        <v>280</v>
      </c>
      <c r="J56" s="8" t="s">
        <v>23</v>
      </c>
      <c r="K56" s="8" t="s">
        <v>88</v>
      </c>
      <c r="L56" s="8" t="s">
        <v>25</v>
      </c>
      <c r="M56" s="8" t="s">
        <v>26</v>
      </c>
      <c r="N56" s="8" t="s">
        <v>48</v>
      </c>
      <c r="O56" s="8" t="s">
        <v>64</v>
      </c>
      <c r="P56" s="8" t="s">
        <v>114</v>
      </c>
    </row>
    <row r="57" spans="1:16" ht="31" x14ac:dyDescent="0.35">
      <c r="A57" s="14">
        <f>DATE(2025,9,28)+TIME(11,8,49)</f>
        <v>45928.464456018519</v>
      </c>
      <c r="B57" s="6" t="s">
        <v>2</v>
      </c>
      <c r="C57" s="6" t="s">
        <v>206</v>
      </c>
      <c r="D57" s="6" t="s">
        <v>281</v>
      </c>
      <c r="E57" s="6" t="s">
        <v>282</v>
      </c>
      <c r="F57" s="6" t="s">
        <v>75</v>
      </c>
      <c r="G57" s="6" t="s">
        <v>9</v>
      </c>
      <c r="H57" s="6" t="s">
        <v>76</v>
      </c>
      <c r="I57" s="6" t="s">
        <v>45</v>
      </c>
      <c r="J57" s="6" t="s">
        <v>23</v>
      </c>
      <c r="K57" s="6" t="s">
        <v>24</v>
      </c>
      <c r="L57" s="6" t="s">
        <v>25</v>
      </c>
      <c r="M57" s="6" t="s">
        <v>47</v>
      </c>
      <c r="N57" s="6" t="s">
        <v>27</v>
      </c>
      <c r="O57" s="6" t="s">
        <v>49</v>
      </c>
      <c r="P57" s="6" t="s">
        <v>50</v>
      </c>
    </row>
    <row r="58" spans="1:16" ht="46.5" x14ac:dyDescent="0.35">
      <c r="A58" s="15">
        <f>DATE(2025,9,28)+TIME(10,32,23)</f>
        <v>45928.439155092594</v>
      </c>
      <c r="B58" s="8" t="s">
        <v>2</v>
      </c>
      <c r="C58" s="8" t="s">
        <v>283</v>
      </c>
      <c r="D58" s="8" t="s">
        <v>284</v>
      </c>
      <c r="E58" s="8" t="s">
        <v>285</v>
      </c>
      <c r="F58" s="8" t="s">
        <v>75</v>
      </c>
      <c r="G58" s="8" t="s">
        <v>9</v>
      </c>
      <c r="H58" s="8" t="s">
        <v>80</v>
      </c>
      <c r="I58" s="8" t="s">
        <v>45</v>
      </c>
      <c r="J58" s="8" t="s">
        <v>23</v>
      </c>
      <c r="K58" s="8" t="s">
        <v>24</v>
      </c>
      <c r="L58" s="8" t="s">
        <v>25</v>
      </c>
      <c r="M58" s="8" t="s">
        <v>47</v>
      </c>
      <c r="N58" s="8" t="s">
        <v>27</v>
      </c>
      <c r="O58" s="8" t="s">
        <v>49</v>
      </c>
      <c r="P58" s="8" t="s">
        <v>50</v>
      </c>
    </row>
    <row r="59" spans="1:16" ht="46.5" x14ac:dyDescent="0.35">
      <c r="A59" s="14">
        <f>DATE(2025,10,27)+TIME(15,8,35)</f>
        <v>45957.630960648145</v>
      </c>
      <c r="B59" s="6" t="s">
        <v>2</v>
      </c>
      <c r="C59" s="6" t="s">
        <v>286</v>
      </c>
      <c r="D59" s="6" t="s">
        <v>287</v>
      </c>
      <c r="E59" s="6" t="s">
        <v>288</v>
      </c>
      <c r="F59" s="6" t="s">
        <v>33</v>
      </c>
      <c r="G59" s="6" t="s">
        <v>15</v>
      </c>
      <c r="H59" s="6" t="s">
        <v>289</v>
      </c>
      <c r="I59" s="6" t="s">
        <v>125</v>
      </c>
      <c r="J59" s="6" t="s">
        <v>135</v>
      </c>
      <c r="K59" s="6"/>
      <c r="L59" s="6"/>
      <c r="M59" s="6"/>
      <c r="N59" s="6"/>
      <c r="O59" s="6"/>
      <c r="P59" s="6"/>
    </row>
    <row r="60" spans="1:16" ht="15.5" x14ac:dyDescent="0.35">
      <c r="A60" s="15">
        <f>DATE(2025,10,16)+TIME(10,46,23)</f>
        <v>45946.448877314811</v>
      </c>
      <c r="B60" s="8" t="s">
        <v>2</v>
      </c>
      <c r="C60" s="8" t="s">
        <v>290</v>
      </c>
      <c r="D60" s="8" t="s">
        <v>291</v>
      </c>
      <c r="E60" s="8" t="s">
        <v>292</v>
      </c>
      <c r="F60" s="8" t="s">
        <v>118</v>
      </c>
      <c r="G60" s="8" t="s">
        <v>14</v>
      </c>
      <c r="H60" s="8" t="s">
        <v>293</v>
      </c>
      <c r="I60" s="8" t="s">
        <v>294</v>
      </c>
      <c r="J60" s="8" t="s">
        <v>295</v>
      </c>
      <c r="K60" s="8" t="s">
        <v>88</v>
      </c>
      <c r="L60" s="8" t="s">
        <v>25</v>
      </c>
      <c r="M60" s="8" t="s">
        <v>26</v>
      </c>
      <c r="N60" s="8" t="s">
        <v>48</v>
      </c>
      <c r="O60" s="8" t="s">
        <v>58</v>
      </c>
      <c r="P60" s="8" t="s">
        <v>59</v>
      </c>
    </row>
    <row r="61" spans="1:16" ht="31" x14ac:dyDescent="0.35">
      <c r="A61" s="14">
        <f>DATE(2025,10,10)+TIME(13,17,52)</f>
        <v>45940.554074074076</v>
      </c>
      <c r="B61" s="6" t="s">
        <v>2</v>
      </c>
      <c r="C61" s="6" t="s">
        <v>296</v>
      </c>
      <c r="D61" s="6" t="s">
        <v>297</v>
      </c>
      <c r="E61" s="6" t="s">
        <v>298</v>
      </c>
      <c r="F61" s="6" t="s">
        <v>123</v>
      </c>
      <c r="G61" s="6" t="s">
        <v>12</v>
      </c>
      <c r="H61" s="6" t="s">
        <v>299</v>
      </c>
      <c r="I61" s="6" t="s">
        <v>300</v>
      </c>
      <c r="J61" s="6" t="s">
        <v>23</v>
      </c>
      <c r="K61" s="6" t="s">
        <v>24</v>
      </c>
      <c r="L61" s="6" t="s">
        <v>57</v>
      </c>
      <c r="M61" s="6" t="s">
        <v>26</v>
      </c>
      <c r="N61" s="6" t="s">
        <v>27</v>
      </c>
      <c r="O61" s="6" t="s">
        <v>64</v>
      </c>
      <c r="P61" s="6" t="s">
        <v>114</v>
      </c>
    </row>
    <row r="62" spans="1:16" ht="46.5" x14ac:dyDescent="0.35">
      <c r="A62" s="15">
        <f>DATE(2025,10,8)+TIME(7,14,58)</f>
        <v>45938.302060185182</v>
      </c>
      <c r="B62" s="8" t="s">
        <v>2</v>
      </c>
      <c r="C62" s="8" t="s">
        <v>301</v>
      </c>
      <c r="D62" s="8" t="s">
        <v>302</v>
      </c>
      <c r="E62" s="8" t="s">
        <v>303</v>
      </c>
      <c r="F62" s="8" t="s">
        <v>93</v>
      </c>
      <c r="G62" s="8" t="s">
        <v>13</v>
      </c>
      <c r="H62" s="8" t="s">
        <v>94</v>
      </c>
      <c r="I62" s="8" t="s">
        <v>104</v>
      </c>
      <c r="J62" s="8" t="s">
        <v>135</v>
      </c>
      <c r="K62" s="8" t="s">
        <v>24</v>
      </c>
      <c r="L62" s="8" t="s">
        <v>25</v>
      </c>
      <c r="M62" s="8" t="s">
        <v>26</v>
      </c>
      <c r="N62" s="8" t="s">
        <v>27</v>
      </c>
      <c r="O62" s="8" t="s">
        <v>64</v>
      </c>
      <c r="P62" s="8" t="s">
        <v>65</v>
      </c>
    </row>
    <row r="63" spans="1:16" ht="31" x14ac:dyDescent="0.35">
      <c r="A63" s="14">
        <f>DATE(2025,10,13)+TIME(18,15,15)</f>
        <v>45943.76059027778</v>
      </c>
      <c r="B63" s="6" t="s">
        <v>2</v>
      </c>
      <c r="C63" s="6" t="s">
        <v>304</v>
      </c>
      <c r="D63" s="6" t="s">
        <v>305</v>
      </c>
      <c r="E63" s="6" t="s">
        <v>306</v>
      </c>
      <c r="F63" s="6" t="s">
        <v>175</v>
      </c>
      <c r="G63" s="6" t="s">
        <v>9</v>
      </c>
      <c r="H63" s="6" t="s">
        <v>279</v>
      </c>
      <c r="I63" s="6" t="s">
        <v>45</v>
      </c>
      <c r="J63" s="6" t="s">
        <v>23</v>
      </c>
      <c r="K63" s="6" t="s">
        <v>88</v>
      </c>
      <c r="L63" s="6" t="s">
        <v>307</v>
      </c>
      <c r="M63" s="6" t="s">
        <v>26</v>
      </c>
      <c r="N63" s="6" t="s">
        <v>48</v>
      </c>
      <c r="O63" s="6" t="s">
        <v>49</v>
      </c>
      <c r="P63" s="6" t="s">
        <v>39</v>
      </c>
    </row>
    <row r="64" spans="1:16" ht="62" x14ac:dyDescent="0.35">
      <c r="A64" s="15">
        <f>DATE(2025,10,8)+TIME(23,6,1)</f>
        <v>45938.962511574071</v>
      </c>
      <c r="B64" s="8" t="s">
        <v>3</v>
      </c>
      <c r="C64" s="8" t="s">
        <v>308</v>
      </c>
      <c r="D64" s="8" t="s">
        <v>309</v>
      </c>
      <c r="E64" s="8" t="s">
        <v>310</v>
      </c>
      <c r="F64" s="8" t="s">
        <v>54</v>
      </c>
      <c r="G64" s="8" t="s">
        <v>9</v>
      </c>
      <c r="H64" s="8" t="s">
        <v>55</v>
      </c>
      <c r="I64" s="8" t="s">
        <v>45</v>
      </c>
      <c r="J64" s="8" t="s">
        <v>135</v>
      </c>
      <c r="K64" s="8" t="s">
        <v>24</v>
      </c>
      <c r="L64" s="8" t="s">
        <v>25</v>
      </c>
      <c r="M64" s="8" t="s">
        <v>26</v>
      </c>
      <c r="N64" s="8" t="s">
        <v>27</v>
      </c>
      <c r="O64" s="8" t="s">
        <v>49</v>
      </c>
      <c r="P64" s="8" t="s">
        <v>39</v>
      </c>
    </row>
    <row r="65" spans="1:16" ht="31" x14ac:dyDescent="0.35">
      <c r="A65" s="14">
        <f>DATE(2025,10,11)+TIME(8,7,58)</f>
        <v>45941.338865740741</v>
      </c>
      <c r="B65" s="6" t="s">
        <v>2</v>
      </c>
      <c r="C65" s="6" t="s">
        <v>311</v>
      </c>
      <c r="D65" s="6" t="s">
        <v>312</v>
      </c>
      <c r="E65" s="6" t="s">
        <v>313</v>
      </c>
      <c r="F65" s="6" t="s">
        <v>63</v>
      </c>
      <c r="G65" s="6" t="s">
        <v>11</v>
      </c>
      <c r="H65" s="6"/>
      <c r="I65" s="6"/>
      <c r="J65" s="6"/>
      <c r="K65" s="6" t="s">
        <v>24</v>
      </c>
      <c r="L65" s="6" t="s">
        <v>25</v>
      </c>
      <c r="M65" s="6" t="s">
        <v>26</v>
      </c>
      <c r="N65" s="6" t="s">
        <v>27</v>
      </c>
      <c r="O65" s="6" t="s">
        <v>64</v>
      </c>
      <c r="P65" s="6" t="s">
        <v>65</v>
      </c>
    </row>
    <row r="66" spans="1:16" ht="31" x14ac:dyDescent="0.35">
      <c r="A66" s="15">
        <f>DATE(2025,9,4)+TIME(10,47,17)</f>
        <v>45904.449502314812</v>
      </c>
      <c r="B66" s="8" t="s">
        <v>2</v>
      </c>
      <c r="C66" s="8" t="s">
        <v>314</v>
      </c>
      <c r="D66" s="8" t="s">
        <v>315</v>
      </c>
      <c r="E66" s="8" t="s">
        <v>316</v>
      </c>
      <c r="F66" s="8" t="s">
        <v>63</v>
      </c>
      <c r="G66" s="8" t="s">
        <v>11</v>
      </c>
      <c r="H66" s="8"/>
      <c r="I66" s="8"/>
      <c r="J66" s="8"/>
      <c r="K66" s="8" t="s">
        <v>24</v>
      </c>
      <c r="L66" s="8" t="s">
        <v>25</v>
      </c>
      <c r="M66" s="8" t="s">
        <v>26</v>
      </c>
      <c r="N66" s="8" t="s">
        <v>27</v>
      </c>
      <c r="O66" s="8" t="s">
        <v>64</v>
      </c>
      <c r="P66" s="8" t="s">
        <v>65</v>
      </c>
    </row>
    <row r="67" spans="1:16" ht="31" x14ac:dyDescent="0.35">
      <c r="A67" s="14">
        <f>DATE(2025,10,8)+TIME(22,43,45)</f>
        <v>45938.947048611109</v>
      </c>
      <c r="B67" s="6" t="s">
        <v>2</v>
      </c>
      <c r="C67" s="6" t="s">
        <v>317</v>
      </c>
      <c r="D67" s="6" t="s">
        <v>318</v>
      </c>
      <c r="E67" s="6" t="s">
        <v>319</v>
      </c>
      <c r="F67" s="6" t="s">
        <v>161</v>
      </c>
      <c r="G67" s="6" t="s">
        <v>12</v>
      </c>
      <c r="H67" s="6" t="s">
        <v>320</v>
      </c>
      <c r="I67" s="6" t="s">
        <v>125</v>
      </c>
      <c r="J67" s="6" t="s">
        <v>23</v>
      </c>
      <c r="K67" s="6" t="s">
        <v>88</v>
      </c>
      <c r="L67" s="6" t="s">
        <v>139</v>
      </c>
      <c r="M67" s="6" t="s">
        <v>26</v>
      </c>
      <c r="N67" s="6" t="s">
        <v>48</v>
      </c>
      <c r="O67" s="6" t="s">
        <v>64</v>
      </c>
      <c r="P67" s="6" t="s">
        <v>65</v>
      </c>
    </row>
    <row r="68" spans="1:16" ht="31" x14ac:dyDescent="0.35">
      <c r="A68" s="15">
        <f>DATE(2025,10,6)+TIME(15,55,39)</f>
        <v>45936.663645833331</v>
      </c>
      <c r="B68" s="8" t="s">
        <v>2</v>
      </c>
      <c r="C68" s="8" t="s">
        <v>321</v>
      </c>
      <c r="D68" s="8" t="s">
        <v>287</v>
      </c>
      <c r="E68" s="8" t="s">
        <v>322</v>
      </c>
      <c r="F68" s="8" t="s">
        <v>75</v>
      </c>
      <c r="G68" s="8" t="s">
        <v>9</v>
      </c>
      <c r="H68" s="8" t="s">
        <v>323</v>
      </c>
      <c r="I68" s="8" t="s">
        <v>45</v>
      </c>
      <c r="J68" s="8" t="s">
        <v>23</v>
      </c>
      <c r="K68" s="8" t="s">
        <v>24</v>
      </c>
      <c r="L68" s="8" t="s">
        <v>25</v>
      </c>
      <c r="M68" s="8" t="s">
        <v>47</v>
      </c>
      <c r="N68" s="8" t="s">
        <v>27</v>
      </c>
      <c r="O68" s="8" t="s">
        <v>49</v>
      </c>
      <c r="P68" s="8" t="s">
        <v>50</v>
      </c>
    </row>
    <row r="69" spans="1:16" ht="62" x14ac:dyDescent="0.35">
      <c r="A69" s="14">
        <f>DATE(2025,10,28)+TIME(12,45,18)</f>
        <v>45958.531458333331</v>
      </c>
      <c r="B69" s="6" t="s">
        <v>3</v>
      </c>
      <c r="C69" s="6" t="s">
        <v>324</v>
      </c>
      <c r="D69" s="6" t="s">
        <v>325</v>
      </c>
      <c r="E69" s="6" t="s">
        <v>326</v>
      </c>
      <c r="F69" s="6" t="s">
        <v>327</v>
      </c>
      <c r="G69" s="6" t="s">
        <v>10</v>
      </c>
      <c r="H69" s="6" t="s">
        <v>328</v>
      </c>
      <c r="I69" s="6"/>
      <c r="J69" s="6"/>
      <c r="K69" s="6" t="s">
        <v>24</v>
      </c>
      <c r="L69" s="6" t="s">
        <v>25</v>
      </c>
      <c r="M69" s="6" t="s">
        <v>26</v>
      </c>
      <c r="N69" s="6" t="s">
        <v>27</v>
      </c>
      <c r="O69" s="6" t="s">
        <v>38</v>
      </c>
      <c r="P69" s="6" t="s">
        <v>114</v>
      </c>
    </row>
    <row r="70" spans="1:16" ht="31" x14ac:dyDescent="0.35">
      <c r="A70" s="15">
        <f>DATE(2025,10,23)+TIME(16,40,40)</f>
        <v>45953.694907407407</v>
      </c>
      <c r="B70" s="8" t="s">
        <v>2</v>
      </c>
      <c r="C70" s="8" t="s">
        <v>258</v>
      </c>
      <c r="D70" s="8" t="s">
        <v>329</v>
      </c>
      <c r="E70" s="8" t="s">
        <v>330</v>
      </c>
      <c r="F70" s="8" t="s">
        <v>69</v>
      </c>
      <c r="G70" s="8" t="s">
        <v>12</v>
      </c>
      <c r="H70" s="8" t="s">
        <v>331</v>
      </c>
      <c r="I70" s="8"/>
      <c r="J70" s="8"/>
      <c r="K70" s="8"/>
      <c r="L70" s="8"/>
      <c r="M70" s="8"/>
      <c r="N70" s="8"/>
      <c r="O70" s="8"/>
      <c r="P70" s="8"/>
    </row>
    <row r="71" spans="1:16" ht="31" x14ac:dyDescent="0.35">
      <c r="A71" s="14">
        <f>DATE(2025,10,1)+TIME(20,2,7)</f>
        <v>45931.834803240738</v>
      </c>
      <c r="B71" s="6" t="s">
        <v>2</v>
      </c>
      <c r="C71" s="6" t="s">
        <v>332</v>
      </c>
      <c r="D71" s="6" t="s">
        <v>333</v>
      </c>
      <c r="E71" s="6" t="s">
        <v>334</v>
      </c>
      <c r="F71" s="6" t="s">
        <v>75</v>
      </c>
      <c r="G71" s="6" t="s">
        <v>9</v>
      </c>
      <c r="H71" s="6" t="s">
        <v>76</v>
      </c>
      <c r="I71" s="6" t="s">
        <v>45</v>
      </c>
      <c r="J71" s="6" t="s">
        <v>23</v>
      </c>
      <c r="K71" s="6" t="s">
        <v>88</v>
      </c>
      <c r="L71" s="6" t="s">
        <v>139</v>
      </c>
      <c r="M71" s="6" t="s">
        <v>47</v>
      </c>
      <c r="N71" s="6" t="s">
        <v>48</v>
      </c>
      <c r="O71" s="6" t="s">
        <v>49</v>
      </c>
      <c r="P71" s="6" t="s">
        <v>50</v>
      </c>
    </row>
    <row r="72" spans="1:16" ht="31" x14ac:dyDescent="0.35">
      <c r="A72" s="15">
        <f>DATE(2025,9,10)+TIME(21,56,1)</f>
        <v>45910.913900462961</v>
      </c>
      <c r="B72" s="8" t="s">
        <v>2</v>
      </c>
      <c r="C72" s="8" t="s">
        <v>177</v>
      </c>
      <c r="D72" s="8" t="s">
        <v>335</v>
      </c>
      <c r="E72" s="8" t="s">
        <v>336</v>
      </c>
      <c r="F72" s="8" t="s">
        <v>63</v>
      </c>
      <c r="G72" s="8" t="s">
        <v>11</v>
      </c>
      <c r="H72" s="8"/>
      <c r="I72" s="8"/>
      <c r="J72" s="8"/>
      <c r="K72" s="8" t="s">
        <v>151</v>
      </c>
      <c r="L72" s="8" t="s">
        <v>25</v>
      </c>
      <c r="M72" s="8" t="s">
        <v>337</v>
      </c>
      <c r="N72" s="8" t="s">
        <v>153</v>
      </c>
      <c r="O72" s="8" t="s">
        <v>38</v>
      </c>
      <c r="P72" s="8" t="s">
        <v>114</v>
      </c>
    </row>
    <row r="73" spans="1:16" ht="62" x14ac:dyDescent="0.35">
      <c r="A73" s="14">
        <f>DATE(2025,9,23)+TIME(21,5,16)</f>
        <v>45923.878657407404</v>
      </c>
      <c r="B73" s="6" t="s">
        <v>3</v>
      </c>
      <c r="C73" s="6" t="s">
        <v>338</v>
      </c>
      <c r="D73" s="6" t="s">
        <v>73</v>
      </c>
      <c r="E73" s="6" t="s">
        <v>339</v>
      </c>
      <c r="F73" s="6" t="s">
        <v>43</v>
      </c>
      <c r="G73" s="6" t="s">
        <v>12</v>
      </c>
      <c r="H73" s="6" t="s">
        <v>218</v>
      </c>
      <c r="I73" s="6" t="s">
        <v>104</v>
      </c>
      <c r="J73" s="6" t="s">
        <v>109</v>
      </c>
      <c r="K73" s="6" t="s">
        <v>24</v>
      </c>
      <c r="L73" s="6" t="s">
        <v>25</v>
      </c>
      <c r="M73" s="6" t="s">
        <v>26</v>
      </c>
      <c r="N73" s="6" t="s">
        <v>27</v>
      </c>
      <c r="O73" s="6" t="s">
        <v>38</v>
      </c>
      <c r="P73" s="6" t="s">
        <v>59</v>
      </c>
    </row>
    <row r="74" spans="1:16" ht="31" x14ac:dyDescent="0.35">
      <c r="A74" s="15">
        <f>DATE(2025,10,2)+TIME(14,21,48)</f>
        <v>45932.59847222222</v>
      </c>
      <c r="B74" s="8" t="s">
        <v>2</v>
      </c>
      <c r="C74" s="8" t="s">
        <v>340</v>
      </c>
      <c r="D74" s="8" t="s">
        <v>341</v>
      </c>
      <c r="E74" s="8" t="s">
        <v>342</v>
      </c>
      <c r="F74" s="8" t="s">
        <v>161</v>
      </c>
      <c r="G74" s="8" t="s">
        <v>9</v>
      </c>
      <c r="H74" s="8" t="s">
        <v>320</v>
      </c>
      <c r="I74" s="8" t="s">
        <v>45</v>
      </c>
      <c r="J74" s="8" t="s">
        <v>23</v>
      </c>
      <c r="K74" s="8" t="s">
        <v>24</v>
      </c>
      <c r="L74" s="8" t="s">
        <v>25</v>
      </c>
      <c r="M74" s="8" t="s">
        <v>26</v>
      </c>
      <c r="N74" s="8" t="s">
        <v>27</v>
      </c>
      <c r="O74" s="8" t="s">
        <v>49</v>
      </c>
      <c r="P74" s="8" t="s">
        <v>50</v>
      </c>
    </row>
    <row r="75" spans="1:16" ht="46.5" x14ac:dyDescent="0.35">
      <c r="A75" s="14">
        <f>DATE(2025,10,16)+TIME(12,20,33)</f>
        <v>45946.514270833337</v>
      </c>
      <c r="B75" s="6" t="s">
        <v>2</v>
      </c>
      <c r="C75" s="6" t="s">
        <v>343</v>
      </c>
      <c r="D75" s="6" t="s">
        <v>344</v>
      </c>
      <c r="E75" s="6" t="s">
        <v>345</v>
      </c>
      <c r="F75" s="6" t="s">
        <v>33</v>
      </c>
      <c r="G75" s="6" t="s">
        <v>12</v>
      </c>
      <c r="H75" s="6" t="s">
        <v>134</v>
      </c>
      <c r="I75" s="6" t="s">
        <v>125</v>
      </c>
      <c r="J75" s="6" t="s">
        <v>135</v>
      </c>
      <c r="K75" s="6" t="s">
        <v>88</v>
      </c>
      <c r="L75" s="6" t="s">
        <v>25</v>
      </c>
      <c r="M75" s="6" t="s">
        <v>346</v>
      </c>
      <c r="N75" s="6" t="s">
        <v>48</v>
      </c>
      <c r="O75" s="6" t="s">
        <v>58</v>
      </c>
      <c r="P75" s="6" t="s">
        <v>59</v>
      </c>
    </row>
    <row r="76" spans="1:16" ht="62" x14ac:dyDescent="0.35">
      <c r="A76" s="15">
        <f>DATE(2025,10,8)+TIME(12,33,54)</f>
        <v>45938.523541666669</v>
      </c>
      <c r="B76" s="8" t="s">
        <v>3</v>
      </c>
      <c r="C76" s="8" t="s">
        <v>347</v>
      </c>
      <c r="D76" s="8" t="s">
        <v>348</v>
      </c>
      <c r="E76" s="8" t="s">
        <v>349</v>
      </c>
      <c r="F76" s="8" t="s">
        <v>20</v>
      </c>
      <c r="G76" s="8" t="s">
        <v>12</v>
      </c>
      <c r="H76" s="8" t="s">
        <v>21</v>
      </c>
      <c r="I76" s="8" t="s">
        <v>125</v>
      </c>
      <c r="J76" s="8" t="s">
        <v>350</v>
      </c>
      <c r="K76" s="8" t="s">
        <v>47</v>
      </c>
      <c r="L76" s="8" t="s">
        <v>351</v>
      </c>
      <c r="M76" s="8" t="s">
        <v>47</v>
      </c>
      <c r="N76" s="8" t="s">
        <v>47</v>
      </c>
      <c r="O76" s="8" t="s">
        <v>38</v>
      </c>
      <c r="P76" s="8" t="s">
        <v>59</v>
      </c>
    </row>
    <row r="77" spans="1:16" ht="62" x14ac:dyDescent="0.35">
      <c r="A77" s="14">
        <f>DATE(2025,10,9)+TIME(21,24,11)</f>
        <v>45939.891793981478</v>
      </c>
      <c r="B77" s="6" t="s">
        <v>3</v>
      </c>
      <c r="C77" s="6" t="s">
        <v>352</v>
      </c>
      <c r="D77" s="6" t="s">
        <v>353</v>
      </c>
      <c r="E77" s="6" t="s">
        <v>354</v>
      </c>
      <c r="F77" s="6" t="s">
        <v>129</v>
      </c>
      <c r="G77" s="6" t="s">
        <v>12</v>
      </c>
      <c r="H77" s="6" t="s">
        <v>355</v>
      </c>
      <c r="I77" s="6" t="s">
        <v>125</v>
      </c>
      <c r="J77" s="6" t="s">
        <v>23</v>
      </c>
      <c r="K77" s="6" t="s">
        <v>24</v>
      </c>
      <c r="L77" s="6" t="s">
        <v>25</v>
      </c>
      <c r="M77" s="6" t="s">
        <v>47</v>
      </c>
      <c r="N77" s="6" t="s">
        <v>27</v>
      </c>
      <c r="O77" s="6" t="s">
        <v>64</v>
      </c>
      <c r="P77" s="6" t="s">
        <v>114</v>
      </c>
    </row>
    <row r="78" spans="1:16" ht="62" x14ac:dyDescent="0.35">
      <c r="A78" s="15">
        <f>DATE(2025,10,8)+TIME(10,38,30)</f>
        <v>45938.443402777775</v>
      </c>
      <c r="B78" s="8" t="s">
        <v>3</v>
      </c>
      <c r="C78" s="8" t="s">
        <v>356</v>
      </c>
      <c r="D78" s="8" t="s">
        <v>357</v>
      </c>
      <c r="E78" s="8" t="s">
        <v>358</v>
      </c>
      <c r="F78" s="8" t="s">
        <v>98</v>
      </c>
      <c r="G78" s="8" t="s">
        <v>12</v>
      </c>
      <c r="H78" s="8" t="s">
        <v>99</v>
      </c>
      <c r="I78" s="8" t="s">
        <v>359</v>
      </c>
      <c r="J78" s="8" t="s">
        <v>23</v>
      </c>
      <c r="K78" s="8" t="s">
        <v>88</v>
      </c>
      <c r="L78" s="8" t="s">
        <v>25</v>
      </c>
      <c r="M78" s="8" t="s">
        <v>26</v>
      </c>
      <c r="N78" s="8" t="s">
        <v>48</v>
      </c>
      <c r="O78" s="8" t="s">
        <v>64</v>
      </c>
      <c r="P78" s="8" t="s">
        <v>65</v>
      </c>
    </row>
    <row r="79" spans="1:16" ht="31" x14ac:dyDescent="0.35">
      <c r="A79" s="14">
        <f>DATE(2025,10,16)+TIME(22,2,54)</f>
        <v>45946.918680555558</v>
      </c>
      <c r="B79" s="6" t="s">
        <v>2</v>
      </c>
      <c r="C79" s="6" t="s">
        <v>360</v>
      </c>
      <c r="D79" s="6" t="s">
        <v>361</v>
      </c>
      <c r="E79" s="6" t="s">
        <v>362</v>
      </c>
      <c r="F79" s="6" t="s">
        <v>175</v>
      </c>
      <c r="G79" s="6" t="s">
        <v>9</v>
      </c>
      <c r="H79" s="6" t="s">
        <v>363</v>
      </c>
      <c r="I79" s="6" t="s">
        <v>45</v>
      </c>
      <c r="J79" s="6" t="s">
        <v>46</v>
      </c>
      <c r="K79" s="6" t="s">
        <v>24</v>
      </c>
      <c r="L79" s="6" t="s">
        <v>25</v>
      </c>
      <c r="M79" s="6" t="s">
        <v>26</v>
      </c>
      <c r="N79" s="6" t="s">
        <v>27</v>
      </c>
      <c r="O79" s="6" t="s">
        <v>58</v>
      </c>
      <c r="P79" s="6" t="s">
        <v>39</v>
      </c>
    </row>
    <row r="80" spans="1:16" ht="62" x14ac:dyDescent="0.35">
      <c r="A80" s="15">
        <f>DATE(2025,10,13)+TIME(11,14,48)</f>
        <v>45943.468611111108</v>
      </c>
      <c r="B80" s="8" t="s">
        <v>3</v>
      </c>
      <c r="C80" s="8" t="s">
        <v>364</v>
      </c>
      <c r="D80" s="8" t="s">
        <v>365</v>
      </c>
      <c r="E80" s="8" t="s">
        <v>366</v>
      </c>
      <c r="F80" s="8" t="s">
        <v>367</v>
      </c>
      <c r="G80" s="8" t="s">
        <v>9</v>
      </c>
      <c r="H80" s="8" t="s">
        <v>368</v>
      </c>
      <c r="I80" s="8" t="s">
        <v>45</v>
      </c>
      <c r="J80" s="8" t="s">
        <v>46</v>
      </c>
      <c r="K80" s="8" t="s">
        <v>24</v>
      </c>
      <c r="L80" s="8" t="s">
        <v>25</v>
      </c>
      <c r="M80" s="8" t="s">
        <v>47</v>
      </c>
      <c r="N80" s="8" t="s">
        <v>27</v>
      </c>
      <c r="O80" s="8" t="s">
        <v>38</v>
      </c>
      <c r="P80" s="8" t="s">
        <v>50</v>
      </c>
    </row>
    <row r="81" spans="1:16" ht="31" x14ac:dyDescent="0.35">
      <c r="A81" s="14">
        <f>DATE(2025,10,8)+TIME(20,53,5)</f>
        <v>45938.870196759257</v>
      </c>
      <c r="B81" s="6" t="s">
        <v>2</v>
      </c>
      <c r="C81" s="6" t="s">
        <v>369</v>
      </c>
      <c r="D81" s="6" t="s">
        <v>370</v>
      </c>
      <c r="E81" s="6" t="s">
        <v>371</v>
      </c>
      <c r="F81" s="6" t="s">
        <v>98</v>
      </c>
      <c r="G81" s="6" t="s">
        <v>12</v>
      </c>
      <c r="H81" s="6" t="s">
        <v>222</v>
      </c>
      <c r="I81" s="6" t="s">
        <v>125</v>
      </c>
      <c r="J81" s="6" t="s">
        <v>46</v>
      </c>
      <c r="K81" s="6" t="s">
        <v>47</v>
      </c>
      <c r="L81" s="6" t="s">
        <v>25</v>
      </c>
      <c r="M81" s="6"/>
      <c r="N81" s="6" t="s">
        <v>27</v>
      </c>
      <c r="O81" s="6" t="s">
        <v>64</v>
      </c>
      <c r="P81" s="6" t="s">
        <v>29</v>
      </c>
    </row>
    <row r="82" spans="1:16" ht="31" x14ac:dyDescent="0.35">
      <c r="A82" s="15">
        <f>DATE(2025,10,23)+TIME(13,49,51)</f>
        <v>45953.576284722221</v>
      </c>
      <c r="B82" s="8" t="s">
        <v>2</v>
      </c>
      <c r="C82" s="8" t="s">
        <v>372</v>
      </c>
      <c r="D82" s="8" t="s">
        <v>373</v>
      </c>
      <c r="E82" s="8" t="s">
        <v>374</v>
      </c>
      <c r="F82" s="8" t="s">
        <v>63</v>
      </c>
      <c r="G82" s="8" t="s">
        <v>11</v>
      </c>
      <c r="H82" s="8"/>
      <c r="I82" s="8"/>
      <c r="J82" s="8"/>
      <c r="K82" s="8" t="s">
        <v>88</v>
      </c>
      <c r="L82" s="8" t="s">
        <v>25</v>
      </c>
      <c r="M82" s="8" t="s">
        <v>26</v>
      </c>
      <c r="N82" s="8" t="s">
        <v>48</v>
      </c>
      <c r="O82" s="8" t="s">
        <v>64</v>
      </c>
      <c r="P82" s="8" t="s">
        <v>144</v>
      </c>
    </row>
    <row r="83" spans="1:16" ht="46.5" x14ac:dyDescent="0.35">
      <c r="A83" s="14">
        <f>DATE(2025,10,6)+TIME(16,0,20)</f>
        <v>45936.666898148149</v>
      </c>
      <c r="B83" s="6" t="s">
        <v>2</v>
      </c>
      <c r="C83" s="6" t="s">
        <v>375</v>
      </c>
      <c r="D83" s="6" t="s">
        <v>376</v>
      </c>
      <c r="E83" s="6" t="s">
        <v>377</v>
      </c>
      <c r="F83" s="6" t="s">
        <v>75</v>
      </c>
      <c r="G83" s="6" t="s">
        <v>9</v>
      </c>
      <c r="H83" s="6" t="s">
        <v>80</v>
      </c>
      <c r="I83" s="6" t="s">
        <v>45</v>
      </c>
      <c r="J83" s="6" t="s">
        <v>23</v>
      </c>
      <c r="K83" s="6" t="s">
        <v>24</v>
      </c>
      <c r="L83" s="6" t="s">
        <v>25</v>
      </c>
      <c r="M83" s="6" t="s">
        <v>47</v>
      </c>
      <c r="N83" s="6" t="s">
        <v>27</v>
      </c>
      <c r="O83" s="6" t="s">
        <v>49</v>
      </c>
      <c r="P83" s="6" t="s">
        <v>50</v>
      </c>
    </row>
    <row r="84" spans="1:16" ht="62" x14ac:dyDescent="0.35">
      <c r="A84" s="15">
        <f>DATE(2025,10,13)+TIME(16,11,45)</f>
        <v>45943.674826388888</v>
      </c>
      <c r="B84" s="8" t="s">
        <v>3</v>
      </c>
      <c r="C84" s="8" t="s">
        <v>378</v>
      </c>
      <c r="D84" s="8" t="s">
        <v>91</v>
      </c>
      <c r="E84" s="8" t="s">
        <v>379</v>
      </c>
      <c r="F84" s="8" t="s">
        <v>54</v>
      </c>
      <c r="G84" s="8" t="s">
        <v>9</v>
      </c>
      <c r="H84" s="8" t="s">
        <v>55</v>
      </c>
      <c r="I84" s="8" t="s">
        <v>45</v>
      </c>
      <c r="J84" s="8" t="s">
        <v>109</v>
      </c>
      <c r="K84" s="8" t="s">
        <v>24</v>
      </c>
      <c r="L84" s="8" t="s">
        <v>380</v>
      </c>
      <c r="M84" s="8" t="s">
        <v>26</v>
      </c>
      <c r="N84" s="8" t="s">
        <v>27</v>
      </c>
      <c r="O84" s="8" t="s">
        <v>49</v>
      </c>
      <c r="P84" s="8" t="s">
        <v>39</v>
      </c>
    </row>
    <row r="85" spans="1:16" ht="31" x14ac:dyDescent="0.35">
      <c r="A85" s="14">
        <f>DATE(2025,10,23)+TIME(17,22,3)</f>
        <v>45953.723645833335</v>
      </c>
      <c r="B85" s="6" t="s">
        <v>2</v>
      </c>
      <c r="C85" s="6" t="s">
        <v>381</v>
      </c>
      <c r="D85" s="6" t="s">
        <v>382</v>
      </c>
      <c r="E85" s="6" t="s">
        <v>383</v>
      </c>
      <c r="F85" s="6" t="s">
        <v>384</v>
      </c>
      <c r="G85" s="6" t="s">
        <v>9</v>
      </c>
      <c r="H85" s="6" t="s">
        <v>385</v>
      </c>
      <c r="I85" s="6" t="s">
        <v>45</v>
      </c>
      <c r="J85" s="6" t="s">
        <v>46</v>
      </c>
      <c r="K85" s="6"/>
      <c r="L85" s="6"/>
      <c r="M85" s="6"/>
      <c r="N85" s="6"/>
      <c r="O85" s="6"/>
      <c r="P85" s="6"/>
    </row>
    <row r="86" spans="1:16" ht="31" x14ac:dyDescent="0.35">
      <c r="A86" s="15">
        <f>DATE(2025,9,17)+TIME(11,28,33)</f>
        <v>45917.478159722225</v>
      </c>
      <c r="B86" s="8" t="s">
        <v>2</v>
      </c>
      <c r="C86" s="8" t="s">
        <v>386</v>
      </c>
      <c r="D86" s="8" t="s">
        <v>387</v>
      </c>
      <c r="E86" s="8" t="s">
        <v>388</v>
      </c>
      <c r="F86" s="8" t="s">
        <v>98</v>
      </c>
      <c r="G86" s="8" t="s">
        <v>12</v>
      </c>
      <c r="H86" s="8" t="s">
        <v>389</v>
      </c>
      <c r="I86" s="8" t="s">
        <v>125</v>
      </c>
      <c r="J86" s="8" t="s">
        <v>243</v>
      </c>
      <c r="K86" s="8" t="s">
        <v>24</v>
      </c>
      <c r="L86" s="8" t="s">
        <v>25</v>
      </c>
      <c r="M86" s="8" t="s">
        <v>26</v>
      </c>
      <c r="N86" s="8" t="s">
        <v>27</v>
      </c>
      <c r="O86" s="8" t="s">
        <v>64</v>
      </c>
      <c r="P86" s="8" t="s">
        <v>65</v>
      </c>
    </row>
    <row r="87" spans="1:16" ht="62" x14ac:dyDescent="0.35">
      <c r="A87" s="14">
        <f>DATE(2025,10,2)+TIME(17,55,57)</f>
        <v>45932.747187499997</v>
      </c>
      <c r="B87" s="6" t="s">
        <v>3</v>
      </c>
      <c r="C87" s="6" t="s">
        <v>81</v>
      </c>
      <c r="D87" s="6" t="s">
        <v>390</v>
      </c>
      <c r="E87" s="6" t="s">
        <v>391</v>
      </c>
      <c r="F87" s="6" t="s">
        <v>392</v>
      </c>
      <c r="G87" s="6" t="s">
        <v>12</v>
      </c>
      <c r="H87" s="6" t="s">
        <v>393</v>
      </c>
      <c r="I87" s="6" t="s">
        <v>394</v>
      </c>
      <c r="J87" s="6" t="s">
        <v>46</v>
      </c>
      <c r="K87" s="6" t="s">
        <v>88</v>
      </c>
      <c r="L87" s="6" t="s">
        <v>25</v>
      </c>
      <c r="M87" s="6" t="s">
        <v>26</v>
      </c>
      <c r="N87" s="6" t="s">
        <v>48</v>
      </c>
      <c r="O87" s="6" t="s">
        <v>28</v>
      </c>
      <c r="P87" s="6" t="s">
        <v>114</v>
      </c>
    </row>
    <row r="88" spans="1:16" ht="62" x14ac:dyDescent="0.35">
      <c r="A88" s="15">
        <f>DATE(2025,9,22)+TIME(16,19,19)</f>
        <v>45922.680081018516</v>
      </c>
      <c r="B88" s="8" t="s">
        <v>3</v>
      </c>
      <c r="C88" s="8" t="s">
        <v>395</v>
      </c>
      <c r="D88" s="8" t="s">
        <v>396</v>
      </c>
      <c r="E88" s="8" t="s">
        <v>397</v>
      </c>
      <c r="F88" s="8" t="s">
        <v>84</v>
      </c>
      <c r="G88" s="8" t="s">
        <v>13</v>
      </c>
      <c r="H88" s="8" t="s">
        <v>238</v>
      </c>
      <c r="I88" s="8" t="s">
        <v>45</v>
      </c>
      <c r="J88" s="8" t="s">
        <v>46</v>
      </c>
      <c r="K88" s="8" t="s">
        <v>24</v>
      </c>
      <c r="L88" s="8" t="s">
        <v>25</v>
      </c>
      <c r="M88" s="8" t="s">
        <v>26</v>
      </c>
      <c r="N88" s="8" t="s">
        <v>27</v>
      </c>
      <c r="O88" s="8" t="s">
        <v>49</v>
      </c>
      <c r="P88" s="8" t="s">
        <v>50</v>
      </c>
    </row>
    <row r="89" spans="1:16" ht="31" x14ac:dyDescent="0.35">
      <c r="A89" s="14">
        <f>DATE(2025,10,15)+TIME(14,16,19)</f>
        <v>45945.594664351855</v>
      </c>
      <c r="B89" s="6" t="s">
        <v>2</v>
      </c>
      <c r="C89" s="6" t="s">
        <v>398</v>
      </c>
      <c r="D89" s="6" t="s">
        <v>399</v>
      </c>
      <c r="E89" s="6" t="s">
        <v>400</v>
      </c>
      <c r="F89" s="6" t="s">
        <v>98</v>
      </c>
      <c r="G89" s="6" t="s">
        <v>12</v>
      </c>
      <c r="H89" s="6" t="s">
        <v>389</v>
      </c>
      <c r="I89" s="6" t="s">
        <v>71</v>
      </c>
      <c r="J89" s="6" t="s">
        <v>243</v>
      </c>
      <c r="K89" s="6" t="s">
        <v>47</v>
      </c>
      <c r="L89" s="6" t="s">
        <v>25</v>
      </c>
      <c r="M89" s="6" t="s">
        <v>26</v>
      </c>
      <c r="N89" s="6"/>
      <c r="O89" s="6" t="s">
        <v>64</v>
      </c>
      <c r="P89" s="6" t="s">
        <v>65</v>
      </c>
    </row>
    <row r="90" spans="1:16" ht="31" x14ac:dyDescent="0.35">
      <c r="A90" s="15">
        <f>DATE(2025,10,16)+TIME(12,30,58)</f>
        <v>45946.521504629629</v>
      </c>
      <c r="B90" s="8" t="s">
        <v>2</v>
      </c>
      <c r="C90" s="8" t="s">
        <v>401</v>
      </c>
      <c r="D90" s="8" t="s">
        <v>402</v>
      </c>
      <c r="E90" s="8" t="s">
        <v>403</v>
      </c>
      <c r="F90" s="8" t="s">
        <v>33</v>
      </c>
      <c r="G90" s="8" t="s">
        <v>9</v>
      </c>
      <c r="H90" s="8" t="s">
        <v>404</v>
      </c>
      <c r="I90" s="8" t="s">
        <v>45</v>
      </c>
      <c r="J90" s="8" t="s">
        <v>23</v>
      </c>
      <c r="K90" s="8" t="s">
        <v>88</v>
      </c>
      <c r="L90" s="8" t="s">
        <v>25</v>
      </c>
      <c r="M90" s="8" t="s">
        <v>26</v>
      </c>
      <c r="N90" s="8" t="s">
        <v>48</v>
      </c>
      <c r="O90" s="8" t="s">
        <v>49</v>
      </c>
      <c r="P90" s="8" t="s">
        <v>39</v>
      </c>
    </row>
    <row r="91" spans="1:16" ht="31" x14ac:dyDescent="0.35">
      <c r="A91" s="14">
        <f>DATE(2025,10,3)+TIME(15,29,38)</f>
        <v>45933.645578703705</v>
      </c>
      <c r="B91" s="6" t="s">
        <v>2</v>
      </c>
      <c r="C91" s="6" t="s">
        <v>405</v>
      </c>
      <c r="D91" s="6" t="s">
        <v>406</v>
      </c>
      <c r="E91" s="6" t="s">
        <v>407</v>
      </c>
      <c r="F91" s="6" t="s">
        <v>69</v>
      </c>
      <c r="G91" s="6" t="s">
        <v>9</v>
      </c>
      <c r="H91" s="6" t="s">
        <v>70</v>
      </c>
      <c r="I91" s="6" t="s">
        <v>45</v>
      </c>
      <c r="J91" s="6" t="s">
        <v>23</v>
      </c>
      <c r="K91" s="6" t="s">
        <v>88</v>
      </c>
      <c r="L91" s="6" t="s">
        <v>25</v>
      </c>
      <c r="M91" s="6" t="s">
        <v>47</v>
      </c>
      <c r="N91" s="6" t="s">
        <v>48</v>
      </c>
      <c r="O91" s="6" t="s">
        <v>38</v>
      </c>
      <c r="P91" s="6" t="s">
        <v>50</v>
      </c>
    </row>
    <row r="92" spans="1:16" ht="46.5" x14ac:dyDescent="0.35">
      <c r="A92" s="15">
        <f>DATE(2025,9,27)+TIME(10,10,45)</f>
        <v>45927.424131944441</v>
      </c>
      <c r="B92" s="8" t="s">
        <v>2</v>
      </c>
      <c r="C92" s="8" t="s">
        <v>408</v>
      </c>
      <c r="D92" s="8" t="s">
        <v>409</v>
      </c>
      <c r="E92" s="8" t="s">
        <v>410</v>
      </c>
      <c r="F92" s="8" t="s">
        <v>75</v>
      </c>
      <c r="G92" s="8" t="s">
        <v>9</v>
      </c>
      <c r="H92" s="8" t="s">
        <v>80</v>
      </c>
      <c r="I92" s="8" t="s">
        <v>45</v>
      </c>
      <c r="J92" s="8" t="s">
        <v>23</v>
      </c>
      <c r="K92" s="8" t="s">
        <v>24</v>
      </c>
      <c r="L92" s="8" t="s">
        <v>25</v>
      </c>
      <c r="M92" s="8" t="s">
        <v>47</v>
      </c>
      <c r="N92" s="8" t="s">
        <v>27</v>
      </c>
      <c r="O92" s="8" t="s">
        <v>49</v>
      </c>
      <c r="P92" s="8" t="s">
        <v>50</v>
      </c>
    </row>
    <row r="93" spans="1:16" ht="31" x14ac:dyDescent="0.35">
      <c r="A93" s="14">
        <f>DATE(2025,10,12)+TIME(10,50,3)</f>
        <v>45942.451423611114</v>
      </c>
      <c r="B93" s="6" t="s">
        <v>2</v>
      </c>
      <c r="C93" s="6" t="s">
        <v>411</v>
      </c>
      <c r="D93" s="6" t="s">
        <v>412</v>
      </c>
      <c r="E93" s="6" t="s">
        <v>413</v>
      </c>
      <c r="F93" s="6" t="s">
        <v>175</v>
      </c>
      <c r="G93" s="6" t="s">
        <v>9</v>
      </c>
      <c r="H93" s="6" t="s">
        <v>414</v>
      </c>
      <c r="I93" s="6" t="s">
        <v>45</v>
      </c>
      <c r="J93" s="6" t="s">
        <v>23</v>
      </c>
      <c r="K93" s="6" t="s">
        <v>24</v>
      </c>
      <c r="L93" s="6" t="s">
        <v>139</v>
      </c>
      <c r="M93" s="6" t="s">
        <v>26</v>
      </c>
      <c r="N93" s="6" t="s">
        <v>27</v>
      </c>
      <c r="O93" s="6" t="s">
        <v>64</v>
      </c>
      <c r="P93" s="6" t="s">
        <v>39</v>
      </c>
    </row>
    <row r="94" spans="1:16" ht="31" x14ac:dyDescent="0.35">
      <c r="A94" s="15">
        <f>DATE(2025,10,23)+TIME(22,22,58)</f>
        <v>45953.932615740741</v>
      </c>
      <c r="B94" s="8" t="s">
        <v>2</v>
      </c>
      <c r="C94" s="8" t="s">
        <v>415</v>
      </c>
      <c r="D94" s="8" t="s">
        <v>416</v>
      </c>
      <c r="E94" s="8" t="s">
        <v>417</v>
      </c>
      <c r="F94" s="8" t="s">
        <v>63</v>
      </c>
      <c r="G94" s="8" t="s">
        <v>11</v>
      </c>
      <c r="H94" s="8"/>
      <c r="I94" s="8"/>
      <c r="J94" s="8"/>
      <c r="K94" s="8" t="s">
        <v>24</v>
      </c>
      <c r="L94" s="8" t="s">
        <v>25</v>
      </c>
      <c r="M94" s="8" t="s">
        <v>26</v>
      </c>
      <c r="N94" s="8" t="s">
        <v>27</v>
      </c>
      <c r="O94" s="8" t="s">
        <v>28</v>
      </c>
      <c r="P94" s="8" t="s">
        <v>114</v>
      </c>
    </row>
    <row r="95" spans="1:16" ht="77.5" x14ac:dyDescent="0.35">
      <c r="A95" s="14">
        <f>DATE(2025,10,9)+TIME(14,33,42)</f>
        <v>45939.606736111113</v>
      </c>
      <c r="B95" s="6" t="s">
        <v>2</v>
      </c>
      <c r="C95" s="6" t="s">
        <v>418</v>
      </c>
      <c r="D95" s="6" t="s">
        <v>419</v>
      </c>
      <c r="E95" s="6" t="s">
        <v>420</v>
      </c>
      <c r="F95" s="6" t="s">
        <v>421</v>
      </c>
      <c r="G95" s="6" t="s">
        <v>12</v>
      </c>
      <c r="H95" s="6" t="s">
        <v>299</v>
      </c>
      <c r="I95" s="6" t="s">
        <v>125</v>
      </c>
      <c r="J95" s="6" t="s">
        <v>422</v>
      </c>
      <c r="K95" s="6" t="s">
        <v>24</v>
      </c>
      <c r="L95" s="6" t="s">
        <v>57</v>
      </c>
      <c r="M95" s="6" t="s">
        <v>26</v>
      </c>
      <c r="N95" s="6" t="s">
        <v>27</v>
      </c>
      <c r="O95" s="6" t="s">
        <v>64</v>
      </c>
      <c r="P95" s="6" t="s">
        <v>50</v>
      </c>
    </row>
    <row r="96" spans="1:16" ht="31" x14ac:dyDescent="0.35">
      <c r="A96" s="15">
        <f>DATE(2025,10,30)+TIME(17,37,43)</f>
        <v>45960.734525462962</v>
      </c>
      <c r="B96" s="8" t="s">
        <v>2</v>
      </c>
      <c r="C96" s="8" t="s">
        <v>338</v>
      </c>
      <c r="D96" s="8" t="s">
        <v>287</v>
      </c>
      <c r="E96" s="8" t="s">
        <v>423</v>
      </c>
      <c r="F96" s="8" t="s">
        <v>118</v>
      </c>
      <c r="G96" s="8" t="s">
        <v>14</v>
      </c>
      <c r="H96" s="8" t="s">
        <v>424</v>
      </c>
      <c r="I96" s="8"/>
      <c r="J96" s="8"/>
      <c r="K96" s="8"/>
      <c r="L96" s="8"/>
      <c r="M96" s="8"/>
      <c r="N96" s="8"/>
      <c r="O96" s="8"/>
      <c r="P96" s="8"/>
    </row>
    <row r="97" spans="1:16" ht="77.5" x14ac:dyDescent="0.35">
      <c r="A97" s="14">
        <f>DATE(2025,9,27)+TIME(14,11,52)</f>
        <v>45927.591574074075</v>
      </c>
      <c r="B97" s="6" t="s">
        <v>2</v>
      </c>
      <c r="C97" s="6" t="s">
        <v>425</v>
      </c>
      <c r="D97" s="6" t="s">
        <v>426</v>
      </c>
      <c r="E97" s="6" t="s">
        <v>427</v>
      </c>
      <c r="F97" s="6" t="s">
        <v>75</v>
      </c>
      <c r="G97" s="6" t="s">
        <v>12</v>
      </c>
      <c r="H97" s="6" t="s">
        <v>75</v>
      </c>
      <c r="I97" s="6" t="s">
        <v>428</v>
      </c>
      <c r="J97" s="6" t="s">
        <v>429</v>
      </c>
      <c r="K97" s="6" t="s">
        <v>24</v>
      </c>
      <c r="L97" s="6" t="s">
        <v>57</v>
      </c>
      <c r="M97" s="6" t="s">
        <v>430</v>
      </c>
      <c r="N97" s="6" t="s">
        <v>27</v>
      </c>
      <c r="O97" s="6" t="s">
        <v>64</v>
      </c>
      <c r="P97" s="6" t="s">
        <v>65</v>
      </c>
    </row>
    <row r="98" spans="1:16" ht="31" x14ac:dyDescent="0.35">
      <c r="A98" s="15">
        <f>DATE(2025,10,8)+TIME(13,28,50)</f>
        <v>45938.561689814815</v>
      </c>
      <c r="B98" s="8" t="s">
        <v>2</v>
      </c>
      <c r="C98" s="8" t="s">
        <v>431</v>
      </c>
      <c r="D98" s="8" t="s">
        <v>91</v>
      </c>
      <c r="E98" s="8" t="s">
        <v>432</v>
      </c>
      <c r="F98" s="8" t="s">
        <v>98</v>
      </c>
      <c r="G98" s="8" t="s">
        <v>12</v>
      </c>
      <c r="H98" s="8" t="s">
        <v>99</v>
      </c>
      <c r="I98" s="8" t="s">
        <v>71</v>
      </c>
      <c r="J98" s="8" t="s">
        <v>46</v>
      </c>
      <c r="K98" s="8" t="s">
        <v>24</v>
      </c>
      <c r="L98" s="8" t="s">
        <v>25</v>
      </c>
      <c r="M98" s="8" t="s">
        <v>26</v>
      </c>
      <c r="N98" s="8" t="s">
        <v>27</v>
      </c>
      <c r="O98" s="8" t="s">
        <v>28</v>
      </c>
      <c r="P98" s="8" t="s">
        <v>65</v>
      </c>
    </row>
    <row r="99" spans="1:16" ht="46.5" x14ac:dyDescent="0.35">
      <c r="A99" s="14">
        <f>DATE(2025,10,16)+TIME(15,19,59)</f>
        <v>45946.638877314814</v>
      </c>
      <c r="B99" s="6" t="s">
        <v>2</v>
      </c>
      <c r="C99" s="6" t="s">
        <v>433</v>
      </c>
      <c r="D99" s="6" t="s">
        <v>82</v>
      </c>
      <c r="E99" s="6" t="s">
        <v>434</v>
      </c>
      <c r="F99" s="6" t="s">
        <v>33</v>
      </c>
      <c r="G99" s="6" t="s">
        <v>9</v>
      </c>
      <c r="H99" s="6" t="s">
        <v>134</v>
      </c>
      <c r="I99" s="6" t="s">
        <v>45</v>
      </c>
      <c r="J99" s="6" t="s">
        <v>135</v>
      </c>
      <c r="K99" s="6" t="s">
        <v>24</v>
      </c>
      <c r="L99" s="6" t="s">
        <v>25</v>
      </c>
      <c r="M99" s="6" t="s">
        <v>26</v>
      </c>
      <c r="N99" s="6" t="s">
        <v>27</v>
      </c>
      <c r="O99" s="6" t="s">
        <v>49</v>
      </c>
      <c r="P99" s="6" t="s">
        <v>39</v>
      </c>
    </row>
    <row r="100" spans="1:16" ht="31" x14ac:dyDescent="0.35">
      <c r="A100" s="15">
        <f>DATE(2025,10,23)+TIME(17,56,37)</f>
        <v>45953.747650462959</v>
      </c>
      <c r="B100" s="8" t="s">
        <v>2</v>
      </c>
      <c r="C100" s="8" t="s">
        <v>31</v>
      </c>
      <c r="D100" s="8" t="s">
        <v>435</v>
      </c>
      <c r="E100" s="8" t="s">
        <v>436</v>
      </c>
      <c r="F100" s="8" t="s">
        <v>118</v>
      </c>
      <c r="G100" s="8" t="s">
        <v>14</v>
      </c>
      <c r="H100" s="8"/>
      <c r="I100" s="8"/>
      <c r="J100" s="8"/>
      <c r="K100" s="8"/>
      <c r="L100" s="8"/>
      <c r="M100" s="8"/>
      <c r="N100" s="8"/>
      <c r="O100" s="8"/>
      <c r="P100" s="8"/>
    </row>
    <row r="101" spans="1:16" ht="46.5" x14ac:dyDescent="0.35">
      <c r="A101" s="14">
        <f>DATE(2025,10,15)+TIME(15,46,54)</f>
        <v>45945.657569444447</v>
      </c>
      <c r="B101" s="6" t="s">
        <v>2</v>
      </c>
      <c r="C101" s="6" t="s">
        <v>437</v>
      </c>
      <c r="D101" s="6" t="s">
        <v>438</v>
      </c>
      <c r="E101" s="6" t="s">
        <v>439</v>
      </c>
      <c r="F101" s="6" t="s">
        <v>123</v>
      </c>
      <c r="G101" s="6" t="s">
        <v>12</v>
      </c>
      <c r="H101" s="6" t="s">
        <v>440</v>
      </c>
      <c r="I101" s="6" t="s">
        <v>125</v>
      </c>
      <c r="J101" s="6" t="s">
        <v>109</v>
      </c>
      <c r="K101" s="6" t="s">
        <v>24</v>
      </c>
      <c r="L101" s="6" t="s">
        <v>57</v>
      </c>
      <c r="M101" s="6" t="s">
        <v>337</v>
      </c>
      <c r="N101" s="6" t="s">
        <v>27</v>
      </c>
      <c r="O101" s="6" t="s">
        <v>64</v>
      </c>
      <c r="P101" s="6" t="s">
        <v>50</v>
      </c>
    </row>
    <row r="102" spans="1:16" ht="46.5" x14ac:dyDescent="0.35">
      <c r="A102" s="15">
        <f>DATE(2025,10,14)+TIME(19,46,44)</f>
        <v>45944.824120370373</v>
      </c>
      <c r="B102" s="8" t="s">
        <v>2</v>
      </c>
      <c r="C102" s="8" t="s">
        <v>441</v>
      </c>
      <c r="D102" s="8" t="s">
        <v>442</v>
      </c>
      <c r="E102" s="8" t="s">
        <v>443</v>
      </c>
      <c r="F102" s="8" t="s">
        <v>43</v>
      </c>
      <c r="G102" s="8" t="s">
        <v>9</v>
      </c>
      <c r="H102" s="8" t="s">
        <v>218</v>
      </c>
      <c r="I102" s="8" t="s">
        <v>45</v>
      </c>
      <c r="J102" s="8" t="s">
        <v>135</v>
      </c>
      <c r="K102" s="8" t="s">
        <v>24</v>
      </c>
      <c r="L102" s="8" t="s">
        <v>25</v>
      </c>
      <c r="M102" s="8"/>
      <c r="N102" s="8"/>
      <c r="O102" s="8" t="s">
        <v>49</v>
      </c>
      <c r="P102" s="8" t="s">
        <v>39</v>
      </c>
    </row>
    <row r="103" spans="1:16" ht="31" x14ac:dyDescent="0.35">
      <c r="A103" s="14">
        <f>DATE(2025,10,2)+TIME(14,27,5)</f>
        <v>45932.602141203701</v>
      </c>
      <c r="B103" s="6" t="s">
        <v>2</v>
      </c>
      <c r="C103" s="6" t="s">
        <v>444</v>
      </c>
      <c r="D103" s="6" t="s">
        <v>445</v>
      </c>
      <c r="E103" s="6" t="s">
        <v>446</v>
      </c>
      <c r="F103" s="6" t="s">
        <v>161</v>
      </c>
      <c r="G103" s="6" t="s">
        <v>9</v>
      </c>
      <c r="H103" s="6" t="s">
        <v>320</v>
      </c>
      <c r="I103" s="6" t="s">
        <v>45</v>
      </c>
      <c r="J103" s="6" t="s">
        <v>23</v>
      </c>
      <c r="K103" s="6" t="s">
        <v>24</v>
      </c>
      <c r="L103" s="6" t="s">
        <v>25</v>
      </c>
      <c r="M103" s="6" t="s">
        <v>26</v>
      </c>
      <c r="N103" s="6"/>
      <c r="O103" s="6" t="s">
        <v>49</v>
      </c>
      <c r="P103" s="6" t="s">
        <v>50</v>
      </c>
    </row>
    <row r="104" spans="1:16" ht="62" x14ac:dyDescent="0.35">
      <c r="A104" s="15">
        <f>DATE(2025,10,17)+TIME(14,6,40)</f>
        <v>45947.587962962964</v>
      </c>
      <c r="B104" s="8" t="s">
        <v>2</v>
      </c>
      <c r="C104" s="8" t="s">
        <v>447</v>
      </c>
      <c r="D104" s="8" t="s">
        <v>448</v>
      </c>
      <c r="E104" s="8" t="s">
        <v>449</v>
      </c>
      <c r="F104" s="8" t="s">
        <v>33</v>
      </c>
      <c r="G104" s="8" t="s">
        <v>9</v>
      </c>
      <c r="H104" s="8" t="s">
        <v>134</v>
      </c>
      <c r="I104" s="8" t="s">
        <v>450</v>
      </c>
      <c r="J104" s="8" t="s">
        <v>23</v>
      </c>
      <c r="K104" s="8" t="s">
        <v>24</v>
      </c>
      <c r="L104" s="8" t="s">
        <v>25</v>
      </c>
      <c r="M104" s="8" t="s">
        <v>26</v>
      </c>
      <c r="N104" s="8" t="s">
        <v>27</v>
      </c>
      <c r="O104" s="8" t="s">
        <v>49</v>
      </c>
      <c r="P104" s="8" t="s">
        <v>39</v>
      </c>
    </row>
    <row r="105" spans="1:16" ht="46.5" x14ac:dyDescent="0.35">
      <c r="A105" s="14">
        <f>DATE(2025,10,8)+TIME(18,53,58)</f>
        <v>45938.787476851852</v>
      </c>
      <c r="B105" s="6" t="s">
        <v>2</v>
      </c>
      <c r="C105" s="6" t="s">
        <v>451</v>
      </c>
      <c r="D105" s="6" t="s">
        <v>452</v>
      </c>
      <c r="E105" s="6" t="s">
        <v>453</v>
      </c>
      <c r="F105" s="6" t="s">
        <v>98</v>
      </c>
      <c r="G105" s="6" t="s">
        <v>9</v>
      </c>
      <c r="H105" s="6" t="s">
        <v>222</v>
      </c>
      <c r="I105" s="6" t="s">
        <v>45</v>
      </c>
      <c r="J105" s="6" t="s">
        <v>135</v>
      </c>
      <c r="K105" s="6" t="s">
        <v>24</v>
      </c>
      <c r="L105" s="6" t="s">
        <v>25</v>
      </c>
      <c r="M105" s="6" t="s">
        <v>47</v>
      </c>
      <c r="N105" s="6" t="s">
        <v>27</v>
      </c>
      <c r="O105" s="6" t="s">
        <v>49</v>
      </c>
      <c r="P105" s="6" t="s">
        <v>39</v>
      </c>
    </row>
    <row r="106" spans="1:16" ht="31" x14ac:dyDescent="0.35">
      <c r="A106" s="15">
        <f>DATE(2025,9,4)+TIME(9,35,41)</f>
        <v>45904.399780092594</v>
      </c>
      <c r="B106" s="8" t="s">
        <v>2</v>
      </c>
      <c r="C106" s="8" t="s">
        <v>454</v>
      </c>
      <c r="D106" s="8" t="s">
        <v>455</v>
      </c>
      <c r="E106" s="8" t="s">
        <v>456</v>
      </c>
      <c r="F106" s="8" t="s">
        <v>63</v>
      </c>
      <c r="G106" s="8" t="s">
        <v>11</v>
      </c>
      <c r="H106" s="8" t="s">
        <v>457</v>
      </c>
      <c r="I106" s="8" t="s">
        <v>45</v>
      </c>
      <c r="J106" s="8" t="s">
        <v>23</v>
      </c>
      <c r="K106" s="8" t="s">
        <v>24</v>
      </c>
      <c r="L106" s="8" t="s">
        <v>25</v>
      </c>
      <c r="M106" s="8" t="s">
        <v>26</v>
      </c>
      <c r="N106" s="8" t="s">
        <v>27</v>
      </c>
      <c r="O106" s="8" t="s">
        <v>38</v>
      </c>
      <c r="P106" s="8" t="s">
        <v>114</v>
      </c>
    </row>
    <row r="107" spans="1:16" ht="31" x14ac:dyDescent="0.35">
      <c r="A107" s="14">
        <f>DATE(2025,10,23)+TIME(13,4,8)</f>
        <v>45953.544537037036</v>
      </c>
      <c r="B107" s="6" t="s">
        <v>2</v>
      </c>
      <c r="C107" s="6" t="s">
        <v>458</v>
      </c>
      <c r="D107" s="6" t="s">
        <v>78</v>
      </c>
      <c r="E107" s="6" t="s">
        <v>459</v>
      </c>
      <c r="F107" s="6" t="s">
        <v>63</v>
      </c>
      <c r="G107" s="6" t="s">
        <v>11</v>
      </c>
      <c r="H107" s="6"/>
      <c r="I107" s="6"/>
      <c r="J107" s="6"/>
      <c r="K107" s="6" t="s">
        <v>47</v>
      </c>
      <c r="L107" s="6" t="s">
        <v>25</v>
      </c>
      <c r="M107" s="6" t="s">
        <v>26</v>
      </c>
      <c r="N107" s="6" t="s">
        <v>48</v>
      </c>
      <c r="O107" s="6" t="s">
        <v>64</v>
      </c>
      <c r="P107" s="6" t="s">
        <v>114</v>
      </c>
    </row>
    <row r="108" spans="1:16" ht="62" x14ac:dyDescent="0.35">
      <c r="A108" s="15">
        <f>DATE(2025,9,18)+TIME(12,32,16)</f>
        <v>45918.522407407407</v>
      </c>
      <c r="B108" s="8" t="s">
        <v>3</v>
      </c>
      <c r="C108" s="8" t="s">
        <v>460</v>
      </c>
      <c r="D108" s="8" t="s">
        <v>461</v>
      </c>
      <c r="E108" s="8" t="s">
        <v>462</v>
      </c>
      <c r="F108" s="8" t="s">
        <v>63</v>
      </c>
      <c r="G108" s="8" t="s">
        <v>9</v>
      </c>
      <c r="H108" s="8" t="s">
        <v>85</v>
      </c>
      <c r="I108" s="8" t="s">
        <v>463</v>
      </c>
      <c r="J108" s="8" t="s">
        <v>464</v>
      </c>
      <c r="K108" s="8" t="s">
        <v>151</v>
      </c>
      <c r="L108" s="8" t="s">
        <v>57</v>
      </c>
      <c r="M108" s="8" t="s">
        <v>47</v>
      </c>
      <c r="N108" s="8" t="s">
        <v>27</v>
      </c>
      <c r="O108" s="8" t="s">
        <v>49</v>
      </c>
      <c r="P108" s="8" t="s">
        <v>39</v>
      </c>
    </row>
    <row r="109" spans="1:16" ht="31" x14ac:dyDescent="0.35">
      <c r="A109" s="14">
        <f>DATE(2025,9,26)+TIME(13,49,34)</f>
        <v>45926.57608796296</v>
      </c>
      <c r="B109" s="6" t="s">
        <v>2</v>
      </c>
      <c r="C109" s="6" t="s">
        <v>465</v>
      </c>
      <c r="D109" s="6" t="s">
        <v>466</v>
      </c>
      <c r="E109" s="6" t="s">
        <v>467</v>
      </c>
      <c r="F109" s="6" t="s">
        <v>421</v>
      </c>
      <c r="G109" s="6" t="s">
        <v>15</v>
      </c>
      <c r="H109" s="6" t="s">
        <v>468</v>
      </c>
      <c r="I109" s="6" t="s">
        <v>125</v>
      </c>
      <c r="J109" s="6" t="s">
        <v>469</v>
      </c>
      <c r="K109" s="6" t="s">
        <v>24</v>
      </c>
      <c r="L109" s="6" t="s">
        <v>25</v>
      </c>
      <c r="M109" s="6" t="s">
        <v>26</v>
      </c>
      <c r="N109" s="6" t="s">
        <v>27</v>
      </c>
      <c r="O109" s="6" t="s">
        <v>64</v>
      </c>
      <c r="P109" s="6" t="s">
        <v>114</v>
      </c>
    </row>
    <row r="110" spans="1:16" ht="46.5" x14ac:dyDescent="0.35">
      <c r="A110" s="15">
        <f>DATE(2025,10,17)+TIME(12,6,51)</f>
        <v>45947.504756944443</v>
      </c>
      <c r="B110" s="8" t="s">
        <v>2</v>
      </c>
      <c r="C110" s="8" t="s">
        <v>470</v>
      </c>
      <c r="D110" s="8" t="s">
        <v>471</v>
      </c>
      <c r="E110" s="8" t="s">
        <v>472</v>
      </c>
      <c r="F110" s="8" t="s">
        <v>384</v>
      </c>
      <c r="G110" s="8" t="s">
        <v>12</v>
      </c>
      <c r="H110" s="8" t="s">
        <v>385</v>
      </c>
      <c r="I110" s="8" t="s">
        <v>104</v>
      </c>
      <c r="J110" s="8" t="s">
        <v>135</v>
      </c>
      <c r="K110" s="8" t="s">
        <v>88</v>
      </c>
      <c r="L110" s="8" t="s">
        <v>25</v>
      </c>
      <c r="M110" s="8" t="s">
        <v>26</v>
      </c>
      <c r="N110" s="8" t="s">
        <v>48</v>
      </c>
      <c r="O110" s="8" t="s">
        <v>28</v>
      </c>
      <c r="P110" s="8" t="s">
        <v>65</v>
      </c>
    </row>
    <row r="111" spans="1:16" ht="46.5" x14ac:dyDescent="0.35">
      <c r="A111" s="14">
        <f>DATE(2025,10,7)+TIME(17,54,39)</f>
        <v>45937.74628472222</v>
      </c>
      <c r="B111" s="6" t="s">
        <v>2</v>
      </c>
      <c r="C111" s="6" t="s">
        <v>473</v>
      </c>
      <c r="D111" s="6" t="s">
        <v>474</v>
      </c>
      <c r="E111" s="6" t="s">
        <v>475</v>
      </c>
      <c r="F111" s="6" t="s">
        <v>93</v>
      </c>
      <c r="G111" s="6" t="s">
        <v>13</v>
      </c>
      <c r="H111" s="6" t="s">
        <v>157</v>
      </c>
      <c r="I111" s="6" t="s">
        <v>45</v>
      </c>
      <c r="J111" s="6" t="s">
        <v>135</v>
      </c>
      <c r="K111" s="6" t="s">
        <v>24</v>
      </c>
      <c r="L111" s="6" t="s">
        <v>25</v>
      </c>
      <c r="M111" s="6"/>
      <c r="N111" s="6" t="s">
        <v>27</v>
      </c>
      <c r="O111" s="6" t="s">
        <v>49</v>
      </c>
      <c r="P111" s="6" t="s">
        <v>50</v>
      </c>
    </row>
    <row r="112" spans="1:16" ht="31" x14ac:dyDescent="0.35">
      <c r="A112" s="15">
        <f>DATE(2025,9,28)+TIME(11,1,52)</f>
        <v>45928.459629629629</v>
      </c>
      <c r="B112" s="8" t="s">
        <v>2</v>
      </c>
      <c r="C112" s="8" t="s">
        <v>476</v>
      </c>
      <c r="D112" s="8" t="s">
        <v>477</v>
      </c>
      <c r="E112" s="8" t="s">
        <v>478</v>
      </c>
      <c r="F112" s="8" t="s">
        <v>75</v>
      </c>
      <c r="G112" s="8" t="s">
        <v>9</v>
      </c>
      <c r="H112" s="8" t="s">
        <v>76</v>
      </c>
      <c r="I112" s="8" t="s">
        <v>45</v>
      </c>
      <c r="J112" s="8" t="s">
        <v>23</v>
      </c>
      <c r="K112" s="8" t="s">
        <v>88</v>
      </c>
      <c r="L112" s="8" t="s">
        <v>25</v>
      </c>
      <c r="M112" s="8" t="s">
        <v>47</v>
      </c>
      <c r="N112" s="8" t="s">
        <v>48</v>
      </c>
      <c r="O112" s="8" t="s">
        <v>49</v>
      </c>
      <c r="P112" s="8" t="s">
        <v>50</v>
      </c>
    </row>
    <row r="113" spans="1:16" ht="62" x14ac:dyDescent="0.35">
      <c r="A113" s="14">
        <f>DATE(2025,10,17)+TIME(17,35,19)</f>
        <v>45947.732858796298</v>
      </c>
      <c r="B113" s="6" t="s">
        <v>3</v>
      </c>
      <c r="C113" s="6" t="s">
        <v>479</v>
      </c>
      <c r="D113" s="6" t="s">
        <v>480</v>
      </c>
      <c r="E113" s="6" t="s">
        <v>481</v>
      </c>
      <c r="F113" s="6" t="s">
        <v>123</v>
      </c>
      <c r="G113" s="6" t="s">
        <v>12</v>
      </c>
      <c r="H113" s="6" t="s">
        <v>440</v>
      </c>
      <c r="I113" s="6" t="s">
        <v>104</v>
      </c>
      <c r="J113" s="6" t="s">
        <v>23</v>
      </c>
      <c r="K113" s="6" t="s">
        <v>24</v>
      </c>
      <c r="L113" s="6" t="s">
        <v>25</v>
      </c>
      <c r="M113" s="6" t="s">
        <v>26</v>
      </c>
      <c r="N113" s="6" t="s">
        <v>27</v>
      </c>
      <c r="O113" s="6" t="s">
        <v>64</v>
      </c>
      <c r="P113" s="6" t="s">
        <v>65</v>
      </c>
    </row>
    <row r="114" spans="1:16" ht="31" x14ac:dyDescent="0.35">
      <c r="A114" s="15">
        <f>DATE(2025,9,11)+TIME(12,58,12)</f>
        <v>45911.540416666663</v>
      </c>
      <c r="B114" s="8" t="s">
        <v>2</v>
      </c>
      <c r="C114" s="8" t="s">
        <v>482</v>
      </c>
      <c r="D114" s="8" t="s">
        <v>483</v>
      </c>
      <c r="E114" s="8" t="s">
        <v>484</v>
      </c>
      <c r="F114" s="8" t="s">
        <v>63</v>
      </c>
      <c r="G114" s="8" t="s">
        <v>11</v>
      </c>
      <c r="H114" s="8"/>
      <c r="I114" s="8"/>
      <c r="J114" s="8"/>
      <c r="K114" s="8" t="s">
        <v>24</v>
      </c>
      <c r="L114" s="8" t="s">
        <v>57</v>
      </c>
      <c r="M114" s="8" t="s">
        <v>26</v>
      </c>
      <c r="N114" s="8" t="s">
        <v>27</v>
      </c>
      <c r="O114" s="8" t="s">
        <v>64</v>
      </c>
      <c r="P114" s="8" t="s">
        <v>29</v>
      </c>
    </row>
    <row r="115" spans="1:16" ht="62" x14ac:dyDescent="0.35">
      <c r="A115" s="14">
        <f>DATE(2025,10,8)+TIME(15,35,33)</f>
        <v>45938.649687500001</v>
      </c>
      <c r="B115" s="6" t="s">
        <v>3</v>
      </c>
      <c r="C115" s="6" t="s">
        <v>485</v>
      </c>
      <c r="D115" s="6" t="s">
        <v>486</v>
      </c>
      <c r="E115" s="6" t="s">
        <v>487</v>
      </c>
      <c r="F115" s="6" t="s">
        <v>75</v>
      </c>
      <c r="G115" s="6" t="s">
        <v>12</v>
      </c>
      <c r="H115" s="6" t="s">
        <v>76</v>
      </c>
      <c r="I115" s="6" t="s">
        <v>488</v>
      </c>
      <c r="J115" s="6" t="s">
        <v>46</v>
      </c>
      <c r="K115" s="6" t="s">
        <v>24</v>
      </c>
      <c r="L115" s="6" t="s">
        <v>25</v>
      </c>
      <c r="M115" s="6" t="s">
        <v>26</v>
      </c>
      <c r="N115" s="6" t="s">
        <v>27</v>
      </c>
      <c r="O115" s="6" t="s">
        <v>38</v>
      </c>
      <c r="P115" s="6" t="s">
        <v>65</v>
      </c>
    </row>
    <row r="116" spans="1:16" ht="31" x14ac:dyDescent="0.35">
      <c r="A116" s="15">
        <f>DATE(2025,9,17)+TIME(13,18,5)</f>
        <v>45917.554224537038</v>
      </c>
      <c r="B116" s="8" t="s">
        <v>2</v>
      </c>
      <c r="C116" s="8" t="s">
        <v>489</v>
      </c>
      <c r="D116" s="8" t="s">
        <v>490</v>
      </c>
      <c r="E116" s="8" t="s">
        <v>491</v>
      </c>
      <c r="F116" s="8" t="s">
        <v>63</v>
      </c>
      <c r="G116" s="8" t="s">
        <v>11</v>
      </c>
      <c r="H116" s="8"/>
      <c r="I116" s="8"/>
      <c r="J116" s="8"/>
      <c r="K116" s="8" t="s">
        <v>24</v>
      </c>
      <c r="L116" s="8" t="s">
        <v>57</v>
      </c>
      <c r="M116" s="8" t="s">
        <v>26</v>
      </c>
      <c r="N116" s="8" t="s">
        <v>27</v>
      </c>
      <c r="O116" s="8" t="s">
        <v>64</v>
      </c>
      <c r="P116" s="8" t="s">
        <v>29</v>
      </c>
    </row>
    <row r="117" spans="1:16" ht="46.5" x14ac:dyDescent="0.35">
      <c r="A117" s="14">
        <f>DATE(2025,10,27)+TIME(15,12,32)</f>
        <v>45957.633703703701</v>
      </c>
      <c r="B117" s="6" t="s">
        <v>2</v>
      </c>
      <c r="C117" s="6" t="s">
        <v>492</v>
      </c>
      <c r="D117" s="6" t="s">
        <v>220</v>
      </c>
      <c r="E117" s="6" t="s">
        <v>493</v>
      </c>
      <c r="F117" s="6" t="s">
        <v>33</v>
      </c>
      <c r="G117" s="6" t="s">
        <v>15</v>
      </c>
      <c r="H117" s="6" t="s">
        <v>183</v>
      </c>
      <c r="I117" s="6" t="s">
        <v>125</v>
      </c>
      <c r="J117" s="6" t="s">
        <v>135</v>
      </c>
      <c r="K117" s="6"/>
      <c r="L117" s="6"/>
      <c r="M117" s="6"/>
      <c r="N117" s="6"/>
      <c r="O117" s="6"/>
      <c r="P117" s="6"/>
    </row>
    <row r="118" spans="1:16" ht="31" x14ac:dyDescent="0.35">
      <c r="A118" s="15">
        <f>DATE(2025,10,7)+TIME(18,41,26)</f>
        <v>45937.778773148151</v>
      </c>
      <c r="B118" s="8" t="s">
        <v>2</v>
      </c>
      <c r="C118" s="8" t="s">
        <v>494</v>
      </c>
      <c r="D118" s="8" t="s">
        <v>495</v>
      </c>
      <c r="E118" s="8" t="s">
        <v>496</v>
      </c>
      <c r="F118" s="8" t="s">
        <v>63</v>
      </c>
      <c r="G118" s="8" t="s">
        <v>11</v>
      </c>
      <c r="H118" s="8"/>
      <c r="I118" s="8"/>
      <c r="J118" s="8"/>
      <c r="K118" s="8" t="s">
        <v>47</v>
      </c>
      <c r="L118" s="8" t="s">
        <v>25</v>
      </c>
      <c r="M118" s="8" t="s">
        <v>26</v>
      </c>
      <c r="N118" s="8" t="s">
        <v>48</v>
      </c>
      <c r="O118" s="8" t="s">
        <v>64</v>
      </c>
      <c r="P118" s="8" t="s">
        <v>65</v>
      </c>
    </row>
    <row r="119" spans="1:16" ht="31" x14ac:dyDescent="0.35">
      <c r="A119" s="14">
        <f>DATE(2025,9,29)+TIME(18,0,25)</f>
        <v>45929.750289351854</v>
      </c>
      <c r="B119" s="6" t="s">
        <v>2</v>
      </c>
      <c r="C119" s="6" t="s">
        <v>497</v>
      </c>
      <c r="D119" s="6" t="s">
        <v>498</v>
      </c>
      <c r="E119" s="6" t="s">
        <v>499</v>
      </c>
      <c r="F119" s="6" t="s">
        <v>75</v>
      </c>
      <c r="G119" s="6" t="s">
        <v>9</v>
      </c>
      <c r="H119" s="6" t="s">
        <v>76</v>
      </c>
      <c r="I119" s="6" t="s">
        <v>45</v>
      </c>
      <c r="J119" s="6" t="s">
        <v>23</v>
      </c>
      <c r="K119" s="6" t="s">
        <v>24</v>
      </c>
      <c r="L119" s="6" t="s">
        <v>25</v>
      </c>
      <c r="M119" s="6" t="s">
        <v>26</v>
      </c>
      <c r="N119" s="6" t="s">
        <v>27</v>
      </c>
      <c r="O119" s="6" t="s">
        <v>49</v>
      </c>
      <c r="P119" s="6" t="s">
        <v>50</v>
      </c>
    </row>
    <row r="120" spans="1:16" ht="62" x14ac:dyDescent="0.35">
      <c r="A120" s="15">
        <f>DATE(2025,9,28)+TIME(10,35,51)</f>
        <v>45928.441562499997</v>
      </c>
      <c r="B120" s="8" t="s">
        <v>3</v>
      </c>
      <c r="C120" s="8" t="s">
        <v>500</v>
      </c>
      <c r="D120" s="8" t="s">
        <v>501</v>
      </c>
      <c r="E120" s="8" t="s">
        <v>502</v>
      </c>
      <c r="F120" s="8" t="s">
        <v>75</v>
      </c>
      <c r="G120" s="8" t="s">
        <v>9</v>
      </c>
      <c r="H120" s="8" t="s">
        <v>80</v>
      </c>
      <c r="I120" s="8" t="s">
        <v>45</v>
      </c>
      <c r="J120" s="8" t="s">
        <v>23</v>
      </c>
      <c r="K120" s="8" t="s">
        <v>24</v>
      </c>
      <c r="L120" s="8" t="s">
        <v>25</v>
      </c>
      <c r="M120" s="8" t="s">
        <v>47</v>
      </c>
      <c r="N120" s="8" t="s">
        <v>27</v>
      </c>
      <c r="O120" s="8" t="s">
        <v>49</v>
      </c>
      <c r="P120" s="8" t="s">
        <v>50</v>
      </c>
    </row>
    <row r="121" spans="1:16" ht="46.5" x14ac:dyDescent="0.35">
      <c r="A121" s="14">
        <f>DATE(2025,10,7)+TIME(21,7,21)</f>
        <v>45937.880104166667</v>
      </c>
      <c r="B121" s="6" t="s">
        <v>2</v>
      </c>
      <c r="C121" s="6" t="s">
        <v>503</v>
      </c>
      <c r="D121" s="6" t="s">
        <v>504</v>
      </c>
      <c r="E121" s="6" t="s">
        <v>505</v>
      </c>
      <c r="F121" s="6" t="s">
        <v>93</v>
      </c>
      <c r="G121" s="6" t="s">
        <v>13</v>
      </c>
      <c r="H121" s="6" t="s">
        <v>157</v>
      </c>
      <c r="I121" s="6" t="s">
        <v>45</v>
      </c>
      <c r="J121" s="6" t="s">
        <v>135</v>
      </c>
      <c r="K121" s="6" t="s">
        <v>24</v>
      </c>
      <c r="L121" s="6" t="s">
        <v>25</v>
      </c>
      <c r="M121" s="6" t="s">
        <v>26</v>
      </c>
      <c r="N121" s="6" t="s">
        <v>27</v>
      </c>
      <c r="O121" s="6" t="s">
        <v>49</v>
      </c>
      <c r="P121" s="6" t="s">
        <v>50</v>
      </c>
    </row>
    <row r="122" spans="1:16" ht="62" x14ac:dyDescent="0.35">
      <c r="A122" s="15">
        <f>DATE(2025,10,23)+TIME(21,6,17)</f>
        <v>45953.879363425927</v>
      </c>
      <c r="B122" s="8" t="s">
        <v>3</v>
      </c>
      <c r="C122" s="8" t="s">
        <v>506</v>
      </c>
      <c r="D122" s="8" t="s">
        <v>507</v>
      </c>
      <c r="E122" s="8" t="s">
        <v>508</v>
      </c>
      <c r="F122" s="8" t="s">
        <v>509</v>
      </c>
      <c r="G122" s="8" t="s">
        <v>10</v>
      </c>
      <c r="H122" s="8"/>
      <c r="I122" s="8"/>
      <c r="J122" s="8"/>
      <c r="K122" s="8" t="s">
        <v>88</v>
      </c>
      <c r="L122" s="8" t="s">
        <v>25</v>
      </c>
      <c r="M122" s="8" t="s">
        <v>26</v>
      </c>
      <c r="N122" s="8" t="s">
        <v>48</v>
      </c>
      <c r="O122" s="8" t="s">
        <v>58</v>
      </c>
      <c r="P122" s="8" t="s">
        <v>59</v>
      </c>
    </row>
    <row r="123" spans="1:16" ht="31" x14ac:dyDescent="0.35">
      <c r="A123" s="14">
        <f>DATE(2025,10,12)+TIME(10,51,29)</f>
        <v>45942.452418981484</v>
      </c>
      <c r="B123" s="6" t="s">
        <v>2</v>
      </c>
      <c r="C123" s="6" t="s">
        <v>510</v>
      </c>
      <c r="D123" s="6" t="s">
        <v>511</v>
      </c>
      <c r="E123" s="6" t="s">
        <v>512</v>
      </c>
      <c r="F123" s="6" t="s">
        <v>175</v>
      </c>
      <c r="G123" s="6" t="s">
        <v>9</v>
      </c>
      <c r="H123" s="6" t="s">
        <v>513</v>
      </c>
      <c r="I123" s="6" t="s">
        <v>100</v>
      </c>
      <c r="J123" s="6" t="s">
        <v>243</v>
      </c>
      <c r="K123" s="6" t="s">
        <v>24</v>
      </c>
      <c r="L123" s="6" t="s">
        <v>25</v>
      </c>
      <c r="M123" s="6" t="s">
        <v>26</v>
      </c>
      <c r="N123" s="6" t="s">
        <v>27</v>
      </c>
      <c r="O123" s="6" t="s">
        <v>64</v>
      </c>
      <c r="P123" s="6" t="s">
        <v>39</v>
      </c>
    </row>
    <row r="124" spans="1:16" ht="31" x14ac:dyDescent="0.35">
      <c r="A124" s="15">
        <f>DATE(2025,10,1)+TIME(18,57,39)</f>
        <v>45931.790034722224</v>
      </c>
      <c r="B124" s="8" t="s">
        <v>2</v>
      </c>
      <c r="C124" s="8" t="s">
        <v>514</v>
      </c>
      <c r="D124" s="8" t="s">
        <v>515</v>
      </c>
      <c r="E124" s="8" t="s">
        <v>516</v>
      </c>
      <c r="F124" s="8" t="s">
        <v>98</v>
      </c>
      <c r="G124" s="8" t="s">
        <v>12</v>
      </c>
      <c r="H124" s="8" t="s">
        <v>517</v>
      </c>
      <c r="I124" s="8" t="s">
        <v>125</v>
      </c>
      <c r="J124" s="8" t="s">
        <v>23</v>
      </c>
      <c r="K124" s="8" t="s">
        <v>24</v>
      </c>
      <c r="L124" s="8" t="s">
        <v>25</v>
      </c>
      <c r="M124" s="8" t="s">
        <v>47</v>
      </c>
      <c r="N124" s="8" t="s">
        <v>27</v>
      </c>
      <c r="O124" s="8" t="s">
        <v>64</v>
      </c>
      <c r="P124" s="8" t="s">
        <v>50</v>
      </c>
    </row>
    <row r="125" spans="1:16" ht="31" x14ac:dyDescent="0.35">
      <c r="A125" s="14">
        <f>DATE(2025,9,30)+TIME(18,25,15)</f>
        <v>45930.767534722225</v>
      </c>
      <c r="B125" s="6" t="s">
        <v>2</v>
      </c>
      <c r="C125" s="6" t="s">
        <v>518</v>
      </c>
      <c r="D125" s="6" t="s">
        <v>519</v>
      </c>
      <c r="E125" s="6" t="s">
        <v>520</v>
      </c>
      <c r="F125" s="6" t="s">
        <v>75</v>
      </c>
      <c r="G125" s="6" t="s">
        <v>9</v>
      </c>
      <c r="H125" s="6" t="s">
        <v>204</v>
      </c>
      <c r="I125" s="6" t="s">
        <v>45</v>
      </c>
      <c r="J125" s="6" t="s">
        <v>23</v>
      </c>
      <c r="K125" s="6" t="s">
        <v>24</v>
      </c>
      <c r="L125" s="6" t="s">
        <v>25</v>
      </c>
      <c r="M125" s="6" t="s">
        <v>47</v>
      </c>
      <c r="N125" s="6" t="s">
        <v>27</v>
      </c>
      <c r="O125" s="6" t="s">
        <v>49</v>
      </c>
      <c r="P125" s="6" t="s">
        <v>50</v>
      </c>
    </row>
    <row r="126" spans="1:16" ht="31" x14ac:dyDescent="0.35">
      <c r="A126" s="15">
        <f>DATE(2025,10,13)+TIME(17,48,10)</f>
        <v>45943.741782407407</v>
      </c>
      <c r="B126" s="8" t="s">
        <v>2</v>
      </c>
      <c r="C126" s="8" t="s">
        <v>521</v>
      </c>
      <c r="D126" s="8" t="s">
        <v>522</v>
      </c>
      <c r="E126" s="8" t="s">
        <v>523</v>
      </c>
      <c r="F126" s="8" t="s">
        <v>175</v>
      </c>
      <c r="G126" s="8" t="s">
        <v>12</v>
      </c>
      <c r="H126" s="8" t="s">
        <v>176</v>
      </c>
      <c r="I126" s="8" t="s">
        <v>104</v>
      </c>
      <c r="J126" s="8" t="s">
        <v>23</v>
      </c>
      <c r="K126" s="8" t="s">
        <v>24</v>
      </c>
      <c r="L126" s="8" t="s">
        <v>25</v>
      </c>
      <c r="M126" s="8" t="s">
        <v>47</v>
      </c>
      <c r="N126" s="8" t="s">
        <v>27</v>
      </c>
      <c r="O126" s="8" t="s">
        <v>38</v>
      </c>
      <c r="P126" s="8" t="s">
        <v>39</v>
      </c>
    </row>
    <row r="127" spans="1:16" ht="62" x14ac:dyDescent="0.35">
      <c r="A127" s="14">
        <f>DATE(2025,10,14)+TIME(14,12,19)</f>
        <v>45944.591886574075</v>
      </c>
      <c r="B127" s="6" t="s">
        <v>3</v>
      </c>
      <c r="C127" s="6" t="s">
        <v>524</v>
      </c>
      <c r="D127" s="6" t="s">
        <v>220</v>
      </c>
      <c r="E127" s="6" t="s">
        <v>525</v>
      </c>
      <c r="F127" s="6" t="s">
        <v>367</v>
      </c>
      <c r="G127" s="6" t="s">
        <v>12</v>
      </c>
      <c r="H127" s="6" t="s">
        <v>368</v>
      </c>
      <c r="I127" s="6" t="s">
        <v>526</v>
      </c>
      <c r="J127" s="6" t="s">
        <v>527</v>
      </c>
      <c r="K127" s="6" t="s">
        <v>24</v>
      </c>
      <c r="L127" s="6" t="s">
        <v>25</v>
      </c>
      <c r="M127" s="6" t="s">
        <v>26</v>
      </c>
      <c r="N127" s="6" t="s">
        <v>27</v>
      </c>
      <c r="O127" s="6" t="s">
        <v>64</v>
      </c>
      <c r="P127" s="6" t="s">
        <v>50</v>
      </c>
    </row>
    <row r="128" spans="1:16" ht="62" x14ac:dyDescent="0.35">
      <c r="A128" s="15">
        <f>DATE(2025,10,24)+TIME(11,20,53)</f>
        <v>45954.47283564815</v>
      </c>
      <c r="B128" s="8" t="s">
        <v>3</v>
      </c>
      <c r="C128" s="8" t="s">
        <v>528</v>
      </c>
      <c r="D128" s="8" t="s">
        <v>529</v>
      </c>
      <c r="E128" s="8" t="s">
        <v>530</v>
      </c>
      <c r="F128" s="8" t="s">
        <v>98</v>
      </c>
      <c r="G128" s="8" t="s">
        <v>12</v>
      </c>
      <c r="H128" s="8"/>
      <c r="I128" s="8"/>
      <c r="J128" s="8"/>
      <c r="K128" s="8"/>
      <c r="L128" s="8"/>
      <c r="M128" s="8"/>
      <c r="N128" s="8"/>
      <c r="O128" s="8"/>
      <c r="P128" s="8"/>
    </row>
    <row r="129" spans="1:16" ht="46.5" x14ac:dyDescent="0.35">
      <c r="A129" s="14">
        <f>DATE(2025,9,24)+TIME(12,31,38)</f>
        <v>45924.521967592591</v>
      </c>
      <c r="B129" s="6" t="s">
        <v>2</v>
      </c>
      <c r="C129" s="6" t="s">
        <v>531</v>
      </c>
      <c r="D129" s="6" t="s">
        <v>532</v>
      </c>
      <c r="E129" s="6" t="s">
        <v>533</v>
      </c>
      <c r="F129" s="6" t="s">
        <v>98</v>
      </c>
      <c r="G129" s="6" t="s">
        <v>9</v>
      </c>
      <c r="H129" s="6" t="s">
        <v>534</v>
      </c>
      <c r="I129" s="6" t="s">
        <v>45</v>
      </c>
      <c r="J129" s="6" t="s">
        <v>135</v>
      </c>
      <c r="K129" s="6" t="s">
        <v>88</v>
      </c>
      <c r="L129" s="6" t="s">
        <v>25</v>
      </c>
      <c r="M129" s="6" t="s">
        <v>26</v>
      </c>
      <c r="N129" s="6" t="s">
        <v>48</v>
      </c>
      <c r="O129" s="6" t="s">
        <v>49</v>
      </c>
      <c r="P129" s="6" t="s">
        <v>50</v>
      </c>
    </row>
    <row r="130" spans="1:16" ht="31" x14ac:dyDescent="0.35">
      <c r="A130" s="15">
        <f>DATE(2025,10,12)+TIME(11,20,48)</f>
        <v>45942.472777777781</v>
      </c>
      <c r="B130" s="8" t="s">
        <v>2</v>
      </c>
      <c r="C130" s="8" t="s">
        <v>535</v>
      </c>
      <c r="D130" s="8" t="s">
        <v>536</v>
      </c>
      <c r="E130" s="8" t="s">
        <v>537</v>
      </c>
      <c r="F130" s="8" t="s">
        <v>175</v>
      </c>
      <c r="G130" s="8" t="s">
        <v>12</v>
      </c>
      <c r="H130" s="8" t="s">
        <v>414</v>
      </c>
      <c r="I130" s="8" t="s">
        <v>104</v>
      </c>
      <c r="J130" s="8" t="s">
        <v>243</v>
      </c>
      <c r="K130" s="8" t="s">
        <v>24</v>
      </c>
      <c r="L130" s="8" t="s">
        <v>25</v>
      </c>
      <c r="M130" s="8" t="s">
        <v>26</v>
      </c>
      <c r="N130" s="8" t="s">
        <v>27</v>
      </c>
      <c r="O130" s="8" t="s">
        <v>38</v>
      </c>
      <c r="P130" s="8" t="s">
        <v>114</v>
      </c>
    </row>
    <row r="131" spans="1:16" ht="31" x14ac:dyDescent="0.35">
      <c r="A131" s="14">
        <f>DATE(2025,10,7)+TIME(18,41,46)</f>
        <v>45937.779004629629</v>
      </c>
      <c r="B131" s="6" t="s">
        <v>2</v>
      </c>
      <c r="C131" s="6" t="s">
        <v>538</v>
      </c>
      <c r="D131" s="6" t="s">
        <v>539</v>
      </c>
      <c r="E131" s="6" t="s">
        <v>540</v>
      </c>
      <c r="F131" s="6" t="s">
        <v>392</v>
      </c>
      <c r="G131" s="6" t="s">
        <v>12</v>
      </c>
      <c r="H131" s="6" t="s">
        <v>393</v>
      </c>
      <c r="I131" s="6" t="s">
        <v>125</v>
      </c>
      <c r="J131" s="6" t="s">
        <v>23</v>
      </c>
      <c r="K131" s="6" t="s">
        <v>24</v>
      </c>
      <c r="L131" s="6" t="s">
        <v>25</v>
      </c>
      <c r="M131" s="6" t="s">
        <v>26</v>
      </c>
      <c r="N131" s="6" t="s">
        <v>27</v>
      </c>
      <c r="O131" s="6" t="s">
        <v>64</v>
      </c>
      <c r="P131" s="6" t="s">
        <v>59</v>
      </c>
    </row>
    <row r="132" spans="1:16" ht="62" x14ac:dyDescent="0.35">
      <c r="A132" s="15">
        <f>DATE(2025,10,15)+TIME(11,11,55)</f>
        <v>45945.466608796298</v>
      </c>
      <c r="B132" s="8" t="s">
        <v>3</v>
      </c>
      <c r="C132" s="8" t="s">
        <v>541</v>
      </c>
      <c r="D132" s="8" t="s">
        <v>542</v>
      </c>
      <c r="E132" s="8" t="s">
        <v>543</v>
      </c>
      <c r="F132" s="8" t="s">
        <v>367</v>
      </c>
      <c r="G132" s="8" t="s">
        <v>12</v>
      </c>
      <c r="H132" s="8" t="s">
        <v>368</v>
      </c>
      <c r="I132" s="8" t="s">
        <v>125</v>
      </c>
      <c r="J132" s="8" t="s">
        <v>527</v>
      </c>
      <c r="K132" s="8" t="s">
        <v>24</v>
      </c>
      <c r="L132" s="8" t="s">
        <v>25</v>
      </c>
      <c r="M132" s="8" t="s">
        <v>26</v>
      </c>
      <c r="N132" s="8" t="s">
        <v>27</v>
      </c>
      <c r="O132" s="8" t="s">
        <v>64</v>
      </c>
      <c r="P132" s="8" t="s">
        <v>65</v>
      </c>
    </row>
    <row r="133" spans="1:16" ht="62" x14ac:dyDescent="0.35">
      <c r="A133" s="14">
        <f>DATE(2025,9,30)+TIME(18,50,15)</f>
        <v>45930.784895833334</v>
      </c>
      <c r="B133" s="6" t="s">
        <v>3</v>
      </c>
      <c r="C133" s="6" t="s">
        <v>544</v>
      </c>
      <c r="D133" s="6" t="s">
        <v>445</v>
      </c>
      <c r="E133" s="6" t="s">
        <v>545</v>
      </c>
      <c r="F133" s="6" t="s">
        <v>84</v>
      </c>
      <c r="G133" s="6" t="s">
        <v>13</v>
      </c>
      <c r="H133" s="6" t="s">
        <v>238</v>
      </c>
      <c r="I133" s="6" t="s">
        <v>45</v>
      </c>
      <c r="J133" s="6" t="s">
        <v>109</v>
      </c>
      <c r="K133" s="6" t="s">
        <v>88</v>
      </c>
      <c r="L133" s="6" t="s">
        <v>25</v>
      </c>
      <c r="M133" s="6" t="s">
        <v>26</v>
      </c>
      <c r="N133" s="6" t="s">
        <v>48</v>
      </c>
      <c r="O133" s="6" t="s">
        <v>49</v>
      </c>
      <c r="P133" s="6" t="s">
        <v>50</v>
      </c>
    </row>
    <row r="134" spans="1:16" ht="62" x14ac:dyDescent="0.35">
      <c r="A134" s="15">
        <f>DATE(2025,10,15)+TIME(13,12,16)</f>
        <v>45945.550185185188</v>
      </c>
      <c r="B134" s="8" t="s">
        <v>2</v>
      </c>
      <c r="C134" s="8" t="s">
        <v>373</v>
      </c>
      <c r="D134" s="8" t="s">
        <v>546</v>
      </c>
      <c r="E134" s="8" t="s">
        <v>547</v>
      </c>
      <c r="F134" s="8" t="s">
        <v>123</v>
      </c>
      <c r="G134" s="8" t="s">
        <v>12</v>
      </c>
      <c r="H134" s="8" t="s">
        <v>440</v>
      </c>
      <c r="I134" s="8" t="s">
        <v>125</v>
      </c>
      <c r="J134" s="8" t="s">
        <v>548</v>
      </c>
      <c r="K134" s="8" t="s">
        <v>88</v>
      </c>
      <c r="L134" s="8" t="s">
        <v>57</v>
      </c>
      <c r="M134" s="8" t="s">
        <v>26</v>
      </c>
      <c r="N134" s="8" t="s">
        <v>48</v>
      </c>
      <c r="O134" s="8" t="s">
        <v>38</v>
      </c>
      <c r="P134" s="8" t="s">
        <v>59</v>
      </c>
    </row>
    <row r="135" spans="1:16" ht="31" x14ac:dyDescent="0.35">
      <c r="A135" s="14">
        <f>DATE(2025,10,23)+TIME(14,6,29)</f>
        <v>45953.587835648148</v>
      </c>
      <c r="B135" s="6" t="s">
        <v>2</v>
      </c>
      <c r="C135" s="6" t="s">
        <v>549</v>
      </c>
      <c r="D135" s="6" t="s">
        <v>550</v>
      </c>
      <c r="E135" s="6" t="s">
        <v>551</v>
      </c>
      <c r="F135" s="6" t="s">
        <v>63</v>
      </c>
      <c r="G135" s="6" t="s">
        <v>11</v>
      </c>
      <c r="H135" s="6"/>
      <c r="I135" s="6"/>
      <c r="J135" s="6"/>
      <c r="K135" s="6" t="s">
        <v>24</v>
      </c>
      <c r="L135" s="6" t="s">
        <v>552</v>
      </c>
      <c r="M135" s="6" t="s">
        <v>26</v>
      </c>
      <c r="N135" s="6" t="s">
        <v>27</v>
      </c>
      <c r="O135" s="6" t="s">
        <v>64</v>
      </c>
      <c r="P135" s="6" t="s">
        <v>65</v>
      </c>
    </row>
    <row r="136" spans="1:16" ht="62" x14ac:dyDescent="0.35">
      <c r="A136" s="15">
        <f>DATE(2025,9,27)+TIME(10,27,38)</f>
        <v>45927.435856481483</v>
      </c>
      <c r="B136" s="8" t="s">
        <v>3</v>
      </c>
      <c r="C136" s="8" t="s">
        <v>553</v>
      </c>
      <c r="D136" s="8" t="s">
        <v>202</v>
      </c>
      <c r="E136" s="8" t="s">
        <v>554</v>
      </c>
      <c r="F136" s="8" t="s">
        <v>75</v>
      </c>
      <c r="G136" s="8" t="s">
        <v>9</v>
      </c>
      <c r="H136" s="8" t="s">
        <v>80</v>
      </c>
      <c r="I136" s="8" t="s">
        <v>45</v>
      </c>
      <c r="J136" s="8" t="s">
        <v>23</v>
      </c>
      <c r="K136" s="8" t="s">
        <v>24</v>
      </c>
      <c r="L136" s="8" t="s">
        <v>25</v>
      </c>
      <c r="M136" s="8" t="s">
        <v>47</v>
      </c>
      <c r="N136" s="8" t="s">
        <v>27</v>
      </c>
      <c r="O136" s="8" t="s">
        <v>49</v>
      </c>
      <c r="P136" s="8" t="s">
        <v>50</v>
      </c>
    </row>
    <row r="137" spans="1:16" ht="31" x14ac:dyDescent="0.35">
      <c r="A137" s="14">
        <f>DATE(2025,10,7)+TIME(10,7,27)</f>
        <v>45937.421840277777</v>
      </c>
      <c r="B137" s="6" t="s">
        <v>2</v>
      </c>
      <c r="C137" s="6" t="s">
        <v>555</v>
      </c>
      <c r="D137" s="6" t="s">
        <v>556</v>
      </c>
      <c r="E137" s="6" t="s">
        <v>557</v>
      </c>
      <c r="F137" s="6" t="s">
        <v>63</v>
      </c>
      <c r="G137" s="6" t="s">
        <v>11</v>
      </c>
      <c r="H137" s="6"/>
      <c r="I137" s="6"/>
      <c r="J137" s="6"/>
      <c r="K137" s="6" t="s">
        <v>88</v>
      </c>
      <c r="L137" s="6" t="s">
        <v>307</v>
      </c>
      <c r="M137" s="6" t="s">
        <v>47</v>
      </c>
      <c r="N137" s="6" t="s">
        <v>48</v>
      </c>
      <c r="O137" s="6" t="s">
        <v>38</v>
      </c>
      <c r="P137" s="6" t="s">
        <v>50</v>
      </c>
    </row>
    <row r="138" spans="1:16" ht="31" x14ac:dyDescent="0.35">
      <c r="A138" s="15">
        <f>DATE(2025,10,6)+TIME(13,20,36)</f>
        <v>45936.555972222224</v>
      </c>
      <c r="B138" s="8" t="s">
        <v>2</v>
      </c>
      <c r="C138" s="8" t="s">
        <v>558</v>
      </c>
      <c r="D138" s="8" t="s">
        <v>559</v>
      </c>
      <c r="E138" s="8" t="s">
        <v>560</v>
      </c>
      <c r="F138" s="8" t="s">
        <v>93</v>
      </c>
      <c r="G138" s="8" t="s">
        <v>12</v>
      </c>
      <c r="H138" s="8" t="s">
        <v>157</v>
      </c>
      <c r="I138" s="8" t="s">
        <v>125</v>
      </c>
      <c r="J138" s="8" t="s">
        <v>23</v>
      </c>
      <c r="K138" s="8" t="s">
        <v>24</v>
      </c>
      <c r="L138" s="8" t="s">
        <v>25</v>
      </c>
      <c r="M138" s="8"/>
      <c r="N138" s="8" t="s">
        <v>27</v>
      </c>
      <c r="O138" s="8" t="s">
        <v>58</v>
      </c>
      <c r="P138" s="8" t="s">
        <v>50</v>
      </c>
    </row>
    <row r="139" spans="1:16" ht="31" x14ac:dyDescent="0.35">
      <c r="A139" s="14">
        <f>DATE(2025,9,30)+TIME(18,53,20)</f>
        <v>45930.787037037036</v>
      </c>
      <c r="B139" s="6" t="s">
        <v>2</v>
      </c>
      <c r="C139" s="6" t="s">
        <v>40</v>
      </c>
      <c r="D139" s="6" t="s">
        <v>561</v>
      </c>
      <c r="E139" s="6" t="s">
        <v>562</v>
      </c>
      <c r="F139" s="6" t="s">
        <v>75</v>
      </c>
      <c r="G139" s="6" t="s">
        <v>9</v>
      </c>
      <c r="H139" s="6" t="s">
        <v>76</v>
      </c>
      <c r="I139" s="6" t="s">
        <v>45</v>
      </c>
      <c r="J139" s="6" t="s">
        <v>23</v>
      </c>
      <c r="K139" s="6" t="s">
        <v>88</v>
      </c>
      <c r="L139" s="6" t="s">
        <v>25</v>
      </c>
      <c r="M139" s="6" t="s">
        <v>47</v>
      </c>
      <c r="N139" s="6" t="s">
        <v>48</v>
      </c>
      <c r="O139" s="6" t="s">
        <v>58</v>
      </c>
      <c r="P139" s="6" t="s">
        <v>50</v>
      </c>
    </row>
    <row r="140" spans="1:16" ht="46.5" x14ac:dyDescent="0.35">
      <c r="A140" s="15">
        <f>DATE(2025,9,30)+TIME(18,7,14)</f>
        <v>45930.755023148151</v>
      </c>
      <c r="B140" s="8" t="s">
        <v>2</v>
      </c>
      <c r="C140" s="8" t="s">
        <v>563</v>
      </c>
      <c r="D140" s="8" t="s">
        <v>564</v>
      </c>
      <c r="E140" s="8" t="s">
        <v>565</v>
      </c>
      <c r="F140" s="8" t="s">
        <v>98</v>
      </c>
      <c r="G140" s="8" t="s">
        <v>9</v>
      </c>
      <c r="H140" s="8" t="s">
        <v>99</v>
      </c>
      <c r="I140" s="8" t="s">
        <v>45</v>
      </c>
      <c r="J140" s="8" t="s">
        <v>135</v>
      </c>
      <c r="K140" s="8" t="s">
        <v>88</v>
      </c>
      <c r="L140" s="8" t="s">
        <v>25</v>
      </c>
      <c r="M140" s="8" t="s">
        <v>47</v>
      </c>
      <c r="N140" s="8" t="s">
        <v>48</v>
      </c>
      <c r="O140" s="8" t="s">
        <v>49</v>
      </c>
      <c r="P140" s="8" t="s">
        <v>50</v>
      </c>
    </row>
    <row r="141" spans="1:16" ht="62" x14ac:dyDescent="0.35">
      <c r="A141" s="14">
        <f>DATE(2025,9,17)+TIME(14,52,46)</f>
        <v>45917.619976851849</v>
      </c>
      <c r="B141" s="6" t="s">
        <v>3</v>
      </c>
      <c r="C141" s="6" t="s">
        <v>566</v>
      </c>
      <c r="D141" s="6" t="s">
        <v>567</v>
      </c>
      <c r="E141" s="6" t="s">
        <v>568</v>
      </c>
      <c r="F141" s="6" t="s">
        <v>569</v>
      </c>
      <c r="G141" s="6" t="s">
        <v>10</v>
      </c>
      <c r="H141" s="6" t="s">
        <v>570</v>
      </c>
      <c r="I141" s="6" t="s">
        <v>571</v>
      </c>
      <c r="J141" s="6" t="s">
        <v>527</v>
      </c>
      <c r="K141" s="6" t="s">
        <v>24</v>
      </c>
      <c r="L141" s="6" t="s">
        <v>25</v>
      </c>
      <c r="M141" s="6" t="s">
        <v>430</v>
      </c>
      <c r="N141" s="6" t="s">
        <v>27</v>
      </c>
      <c r="O141" s="6" t="s">
        <v>64</v>
      </c>
      <c r="P141" s="6" t="s">
        <v>65</v>
      </c>
    </row>
    <row r="142" spans="1:16" ht="31" x14ac:dyDescent="0.35">
      <c r="A142" s="15">
        <f>DATE(2025,9,24)+TIME(20,17,1)</f>
        <v>45924.845150462963</v>
      </c>
      <c r="B142" s="8" t="s">
        <v>2</v>
      </c>
      <c r="C142" s="8" t="s">
        <v>572</v>
      </c>
      <c r="D142" s="8" t="s">
        <v>573</v>
      </c>
      <c r="E142" s="8" t="s">
        <v>574</v>
      </c>
      <c r="F142" s="8" t="s">
        <v>69</v>
      </c>
      <c r="G142" s="8" t="s">
        <v>9</v>
      </c>
      <c r="H142" s="8" t="s">
        <v>575</v>
      </c>
      <c r="I142" s="8" t="s">
        <v>45</v>
      </c>
      <c r="J142" s="8" t="s">
        <v>23</v>
      </c>
      <c r="K142" s="8" t="s">
        <v>24</v>
      </c>
      <c r="L142" s="8" t="s">
        <v>25</v>
      </c>
      <c r="M142" s="8" t="s">
        <v>26</v>
      </c>
      <c r="N142" s="8" t="s">
        <v>27</v>
      </c>
      <c r="O142" s="8" t="s">
        <v>58</v>
      </c>
      <c r="P142" s="8" t="s">
        <v>50</v>
      </c>
    </row>
    <row r="143" spans="1:16" ht="46.5" x14ac:dyDescent="0.35">
      <c r="A143" s="14">
        <f>DATE(2025,10,12)+TIME(11,4,3)</f>
        <v>45942.461145833331</v>
      </c>
      <c r="B143" s="6" t="s">
        <v>2</v>
      </c>
      <c r="C143" s="6" t="s">
        <v>576</v>
      </c>
      <c r="D143" s="6" t="s">
        <v>577</v>
      </c>
      <c r="E143" s="6" t="s">
        <v>578</v>
      </c>
      <c r="F143" s="6" t="s">
        <v>175</v>
      </c>
      <c r="G143" s="6" t="s">
        <v>9</v>
      </c>
      <c r="H143" s="6" t="s">
        <v>176</v>
      </c>
      <c r="I143" s="6" t="s">
        <v>45</v>
      </c>
      <c r="J143" s="6" t="s">
        <v>135</v>
      </c>
      <c r="K143" s="6" t="s">
        <v>88</v>
      </c>
      <c r="L143" s="6" t="s">
        <v>25</v>
      </c>
      <c r="M143" s="6" t="s">
        <v>47</v>
      </c>
      <c r="N143" s="6" t="s">
        <v>48</v>
      </c>
      <c r="O143" s="6" t="s">
        <v>49</v>
      </c>
      <c r="P143" s="6" t="s">
        <v>50</v>
      </c>
    </row>
    <row r="144" spans="1:16" ht="31" x14ac:dyDescent="0.35">
      <c r="A144" s="15">
        <f>DATE(2025,10,14)+TIME(18,41,55)</f>
        <v>45944.779108796298</v>
      </c>
      <c r="B144" s="8" t="s">
        <v>2</v>
      </c>
      <c r="C144" s="8" t="s">
        <v>271</v>
      </c>
      <c r="D144" s="8" t="s">
        <v>579</v>
      </c>
      <c r="E144" s="8" t="s">
        <v>580</v>
      </c>
      <c r="F144" s="8" t="s">
        <v>123</v>
      </c>
      <c r="G144" s="8" t="s">
        <v>12</v>
      </c>
      <c r="H144" s="8" t="s">
        <v>440</v>
      </c>
      <c r="I144" s="8" t="s">
        <v>125</v>
      </c>
      <c r="J144" s="8" t="s">
        <v>23</v>
      </c>
      <c r="K144" s="8" t="s">
        <v>88</v>
      </c>
      <c r="L144" s="8" t="s">
        <v>25</v>
      </c>
      <c r="M144" s="8" t="s">
        <v>26</v>
      </c>
      <c r="N144" s="8" t="s">
        <v>48</v>
      </c>
      <c r="O144" s="8" t="s">
        <v>64</v>
      </c>
      <c r="P144" s="8" t="s">
        <v>65</v>
      </c>
    </row>
    <row r="145" spans="1:16" ht="31" x14ac:dyDescent="0.35">
      <c r="A145" s="14">
        <f>DATE(2025,10,14)+TIME(14,27,47)</f>
        <v>45944.602627314816</v>
      </c>
      <c r="B145" s="6" t="s">
        <v>2</v>
      </c>
      <c r="C145" s="6" t="s">
        <v>581</v>
      </c>
      <c r="D145" s="6" t="s">
        <v>582</v>
      </c>
      <c r="E145" s="6" t="s">
        <v>583</v>
      </c>
      <c r="F145" s="6" t="s">
        <v>123</v>
      </c>
      <c r="G145" s="6" t="s">
        <v>12</v>
      </c>
      <c r="H145" s="6" t="s">
        <v>584</v>
      </c>
      <c r="I145" s="6" t="s">
        <v>125</v>
      </c>
      <c r="J145" s="6" t="s">
        <v>23</v>
      </c>
      <c r="K145" s="6" t="s">
        <v>24</v>
      </c>
      <c r="L145" s="6" t="s">
        <v>25</v>
      </c>
      <c r="M145" s="6"/>
      <c r="N145" s="6" t="s">
        <v>27</v>
      </c>
      <c r="O145" s="6" t="s">
        <v>64</v>
      </c>
      <c r="P145" s="6" t="s">
        <v>65</v>
      </c>
    </row>
    <row r="146" spans="1:16" ht="62" x14ac:dyDescent="0.35">
      <c r="A146" s="15">
        <f>DATE(2025,9,16)+TIME(17,15,8)</f>
        <v>45916.718842592592</v>
      </c>
      <c r="B146" s="8" t="s">
        <v>3</v>
      </c>
      <c r="C146" s="8" t="s">
        <v>585</v>
      </c>
      <c r="D146" s="8" t="s">
        <v>586</v>
      </c>
      <c r="E146" s="8" t="s">
        <v>587</v>
      </c>
      <c r="F146" s="8" t="s">
        <v>327</v>
      </c>
      <c r="G146" s="8" t="s">
        <v>10</v>
      </c>
      <c r="H146" s="8" t="s">
        <v>588</v>
      </c>
      <c r="I146" s="8" t="s">
        <v>589</v>
      </c>
      <c r="J146" s="8" t="s">
        <v>46</v>
      </c>
      <c r="K146" s="8" t="s">
        <v>24</v>
      </c>
      <c r="L146" s="8" t="s">
        <v>57</v>
      </c>
      <c r="M146" s="8" t="s">
        <v>26</v>
      </c>
      <c r="N146" s="8" t="s">
        <v>27</v>
      </c>
      <c r="O146" s="8" t="s">
        <v>64</v>
      </c>
      <c r="P146" s="8" t="s">
        <v>65</v>
      </c>
    </row>
    <row r="147" spans="1:16" ht="31" x14ac:dyDescent="0.35">
      <c r="A147" s="14">
        <f>DATE(2025,9,27)+TIME(7,43,46)</f>
        <v>45927.322060185186</v>
      </c>
      <c r="B147" s="6" t="s">
        <v>2</v>
      </c>
      <c r="C147" s="6" t="s">
        <v>590</v>
      </c>
      <c r="D147" s="6" t="s">
        <v>591</v>
      </c>
      <c r="E147" s="6" t="s">
        <v>592</v>
      </c>
      <c r="F147" s="6" t="s">
        <v>593</v>
      </c>
      <c r="G147" s="6" t="s">
        <v>15</v>
      </c>
      <c r="H147" s="6" t="s">
        <v>594</v>
      </c>
      <c r="I147" s="6" t="s">
        <v>125</v>
      </c>
      <c r="J147" s="6" t="s">
        <v>243</v>
      </c>
      <c r="K147" s="6" t="s">
        <v>88</v>
      </c>
      <c r="L147" s="6" t="s">
        <v>57</v>
      </c>
      <c r="M147" s="6" t="s">
        <v>26</v>
      </c>
      <c r="N147" s="6" t="s">
        <v>48</v>
      </c>
      <c r="O147" s="6" t="s">
        <v>64</v>
      </c>
      <c r="P147" s="6" t="s">
        <v>65</v>
      </c>
    </row>
    <row r="148" spans="1:16" ht="46.5" x14ac:dyDescent="0.35">
      <c r="A148" s="15">
        <f>DATE(2025,9,26)+TIME(16,12,8)</f>
        <v>45926.675092592595</v>
      </c>
      <c r="B148" s="8" t="s">
        <v>2</v>
      </c>
      <c r="C148" s="8" t="s">
        <v>595</v>
      </c>
      <c r="D148" s="8" t="s">
        <v>596</v>
      </c>
      <c r="E148" s="8" t="s">
        <v>597</v>
      </c>
      <c r="F148" s="8" t="s">
        <v>98</v>
      </c>
      <c r="G148" s="8" t="s">
        <v>9</v>
      </c>
      <c r="H148" s="8" t="s">
        <v>598</v>
      </c>
      <c r="I148" s="8" t="s">
        <v>45</v>
      </c>
      <c r="J148" s="8" t="s">
        <v>109</v>
      </c>
      <c r="K148" s="8" t="s">
        <v>24</v>
      </c>
      <c r="L148" s="8" t="s">
        <v>25</v>
      </c>
      <c r="M148" s="8" t="s">
        <v>26</v>
      </c>
      <c r="N148" s="8" t="s">
        <v>27</v>
      </c>
      <c r="O148" s="8" t="s">
        <v>49</v>
      </c>
      <c r="P148" s="8" t="s">
        <v>50</v>
      </c>
    </row>
    <row r="149" spans="1:16" ht="31" x14ac:dyDescent="0.35">
      <c r="A149" s="14">
        <f>DATE(2025,10,23)+TIME(20,39,11)</f>
        <v>45953.860543981478</v>
      </c>
      <c r="B149" s="6" t="s">
        <v>2</v>
      </c>
      <c r="C149" s="6" t="s">
        <v>418</v>
      </c>
      <c r="D149" s="6" t="s">
        <v>57</v>
      </c>
      <c r="E149" s="6" t="s">
        <v>599</v>
      </c>
      <c r="F149" s="6" t="s">
        <v>98</v>
      </c>
      <c r="G149" s="6" t="s">
        <v>12</v>
      </c>
      <c r="H149" s="6"/>
      <c r="I149" s="6"/>
      <c r="J149" s="6"/>
      <c r="K149" s="6" t="s">
        <v>24</v>
      </c>
      <c r="L149" s="6" t="s">
        <v>25</v>
      </c>
      <c r="M149" s="6" t="s">
        <v>26</v>
      </c>
      <c r="N149" s="6" t="s">
        <v>27</v>
      </c>
      <c r="O149" s="6" t="s">
        <v>64</v>
      </c>
      <c r="P149" s="6" t="s">
        <v>65</v>
      </c>
    </row>
    <row r="150" spans="1:16" ht="31" x14ac:dyDescent="0.35">
      <c r="A150" s="15">
        <f>DATE(2025,10,24)+TIME(11,9,59)</f>
        <v>45954.465266203704</v>
      </c>
      <c r="B150" s="8" t="s">
        <v>2</v>
      </c>
      <c r="C150" s="8" t="s">
        <v>600</v>
      </c>
      <c r="D150" s="8" t="s">
        <v>601</v>
      </c>
      <c r="E150" s="8" t="s">
        <v>602</v>
      </c>
      <c r="F150" s="8" t="s">
        <v>63</v>
      </c>
      <c r="G150" s="8" t="s">
        <v>11</v>
      </c>
      <c r="H150" s="8"/>
      <c r="I150" s="8"/>
      <c r="J150" s="8"/>
      <c r="K150" s="8" t="s">
        <v>88</v>
      </c>
      <c r="L150" s="8" t="s">
        <v>25</v>
      </c>
      <c r="M150" s="8" t="s">
        <v>47</v>
      </c>
      <c r="N150" s="8" t="s">
        <v>48</v>
      </c>
      <c r="O150" s="8"/>
      <c r="P150" s="8"/>
    </row>
    <row r="151" spans="1:16" ht="46.5" x14ac:dyDescent="0.35">
      <c r="A151" s="14">
        <f>DATE(2025,10,8)+TIME(16,51,47)</f>
        <v>45938.702627314815</v>
      </c>
      <c r="B151" s="6" t="s">
        <v>2</v>
      </c>
      <c r="C151" s="6" t="s">
        <v>603</v>
      </c>
      <c r="D151" s="6" t="s">
        <v>604</v>
      </c>
      <c r="E151" s="6" t="s">
        <v>605</v>
      </c>
      <c r="F151" s="6" t="s">
        <v>98</v>
      </c>
      <c r="G151" s="6" t="s">
        <v>12</v>
      </c>
      <c r="H151" s="6" t="s">
        <v>98</v>
      </c>
      <c r="I151" s="6" t="s">
        <v>606</v>
      </c>
      <c r="J151" s="6" t="s">
        <v>109</v>
      </c>
      <c r="K151" s="6" t="s">
        <v>88</v>
      </c>
      <c r="L151" s="6" t="s">
        <v>25</v>
      </c>
      <c r="M151" s="6" t="s">
        <v>26</v>
      </c>
      <c r="N151" s="6" t="s">
        <v>48</v>
      </c>
      <c r="O151" s="6" t="s">
        <v>64</v>
      </c>
      <c r="P151" s="6" t="s">
        <v>29</v>
      </c>
    </row>
    <row r="152" spans="1:16" ht="62" x14ac:dyDescent="0.35">
      <c r="A152" s="15">
        <f>DATE(2025,10,9)+TIME(16,52,14)</f>
        <v>45939.702939814815</v>
      </c>
      <c r="B152" s="8" t="s">
        <v>3</v>
      </c>
      <c r="C152" s="8" t="s">
        <v>607</v>
      </c>
      <c r="D152" s="8" t="s">
        <v>608</v>
      </c>
      <c r="E152" s="8" t="s">
        <v>609</v>
      </c>
      <c r="F152" s="8" t="s">
        <v>69</v>
      </c>
      <c r="G152" s="8" t="s">
        <v>9</v>
      </c>
      <c r="H152" s="8" t="s">
        <v>69</v>
      </c>
      <c r="I152" s="8" t="s">
        <v>610</v>
      </c>
      <c r="J152" s="8" t="s">
        <v>611</v>
      </c>
      <c r="K152" s="8" t="s">
        <v>47</v>
      </c>
      <c r="L152" s="8" t="s">
        <v>57</v>
      </c>
      <c r="M152" s="8" t="s">
        <v>47</v>
      </c>
      <c r="N152" s="8" t="s">
        <v>27</v>
      </c>
      <c r="O152" s="8" t="s">
        <v>64</v>
      </c>
      <c r="P152" s="8" t="s">
        <v>65</v>
      </c>
    </row>
    <row r="153" spans="1:16" ht="31" x14ac:dyDescent="0.35">
      <c r="A153" s="14">
        <f>DATE(2025,10,2)+TIME(14,11,5)</f>
        <v>45932.59103009259</v>
      </c>
      <c r="B153" s="6" t="s">
        <v>2</v>
      </c>
      <c r="C153" s="6" t="s">
        <v>612</v>
      </c>
      <c r="D153" s="6" t="s">
        <v>613</v>
      </c>
      <c r="E153" s="6" t="s">
        <v>614</v>
      </c>
      <c r="F153" s="6" t="s">
        <v>161</v>
      </c>
      <c r="G153" s="6" t="s">
        <v>9</v>
      </c>
      <c r="H153" s="6" t="s">
        <v>320</v>
      </c>
      <c r="I153" s="6" t="s">
        <v>45</v>
      </c>
      <c r="J153" s="6" t="s">
        <v>23</v>
      </c>
      <c r="K153" s="6" t="s">
        <v>24</v>
      </c>
      <c r="L153" s="6" t="s">
        <v>25</v>
      </c>
      <c r="M153" s="6" t="s">
        <v>26</v>
      </c>
      <c r="N153" s="6" t="s">
        <v>27</v>
      </c>
      <c r="O153" s="6" t="s">
        <v>49</v>
      </c>
      <c r="P153" s="6" t="s">
        <v>50</v>
      </c>
    </row>
    <row r="154" spans="1:16" ht="46.5" x14ac:dyDescent="0.35">
      <c r="A154" s="15">
        <f>DATE(2025,9,26)+TIME(19,43,57)</f>
        <v>45926.822187500002</v>
      </c>
      <c r="B154" s="8" t="s">
        <v>2</v>
      </c>
      <c r="C154" s="8" t="s">
        <v>615</v>
      </c>
      <c r="D154" s="8" t="s">
        <v>616</v>
      </c>
      <c r="E154" s="8" t="s">
        <v>617</v>
      </c>
      <c r="F154" s="8" t="s">
        <v>75</v>
      </c>
      <c r="G154" s="8" t="s">
        <v>12</v>
      </c>
      <c r="H154" s="8" t="s">
        <v>80</v>
      </c>
      <c r="I154" s="8" t="s">
        <v>104</v>
      </c>
      <c r="J154" s="8" t="s">
        <v>23</v>
      </c>
      <c r="K154" s="8" t="s">
        <v>24</v>
      </c>
      <c r="L154" s="8" t="s">
        <v>351</v>
      </c>
      <c r="M154" s="8" t="s">
        <v>47</v>
      </c>
      <c r="N154" s="8" t="s">
        <v>27</v>
      </c>
      <c r="O154" s="8" t="s">
        <v>64</v>
      </c>
      <c r="P154" s="8" t="s">
        <v>114</v>
      </c>
    </row>
    <row r="155" spans="1:16" ht="46.5" x14ac:dyDescent="0.35">
      <c r="A155" s="14">
        <f>DATE(2025,10,13)+TIME(14,11,9)</f>
        <v>45943.59107638889</v>
      </c>
      <c r="B155" s="6" t="s">
        <v>2</v>
      </c>
      <c r="C155" s="6" t="s">
        <v>618</v>
      </c>
      <c r="D155" s="6" t="s">
        <v>353</v>
      </c>
      <c r="E155" s="6" t="s">
        <v>619</v>
      </c>
      <c r="F155" s="6" t="s">
        <v>98</v>
      </c>
      <c r="G155" s="6" t="s">
        <v>12</v>
      </c>
      <c r="H155" s="6" t="s">
        <v>534</v>
      </c>
      <c r="I155" s="6" t="s">
        <v>620</v>
      </c>
      <c r="J155" s="6" t="s">
        <v>135</v>
      </c>
      <c r="K155" s="6" t="s">
        <v>88</v>
      </c>
      <c r="L155" s="6" t="s">
        <v>25</v>
      </c>
      <c r="M155" s="6" t="s">
        <v>26</v>
      </c>
      <c r="N155" s="6" t="s">
        <v>48</v>
      </c>
      <c r="O155" s="6" t="s">
        <v>64</v>
      </c>
      <c r="P155" s="6" t="s">
        <v>114</v>
      </c>
    </row>
    <row r="156" spans="1:16" ht="31" x14ac:dyDescent="0.35">
      <c r="A156" s="15">
        <f>DATE(2025,10,13)+TIME(12,58,52)</f>
        <v>45943.540879629632</v>
      </c>
      <c r="B156" s="8" t="s">
        <v>2</v>
      </c>
      <c r="C156" s="8" t="s">
        <v>621</v>
      </c>
      <c r="D156" s="8" t="s">
        <v>622</v>
      </c>
      <c r="E156" s="8" t="s">
        <v>623</v>
      </c>
      <c r="F156" s="8" t="s">
        <v>129</v>
      </c>
      <c r="G156" s="8" t="s">
        <v>12</v>
      </c>
      <c r="H156" s="8" t="s">
        <v>130</v>
      </c>
      <c r="I156" s="8" t="s">
        <v>624</v>
      </c>
      <c r="J156" s="8" t="s">
        <v>46</v>
      </c>
      <c r="K156" s="8" t="s">
        <v>24</v>
      </c>
      <c r="L156" s="8" t="s">
        <v>139</v>
      </c>
      <c r="M156" s="8" t="s">
        <v>143</v>
      </c>
      <c r="N156" s="8" t="s">
        <v>27</v>
      </c>
      <c r="O156" s="8" t="s">
        <v>38</v>
      </c>
      <c r="P156" s="8" t="s">
        <v>39</v>
      </c>
    </row>
    <row r="157" spans="1:16" ht="62" x14ac:dyDescent="0.35">
      <c r="A157" s="14">
        <f>DATE(2025,9,22)+TIME(16,11,25)</f>
        <v>45922.67459490741</v>
      </c>
      <c r="B157" s="6" t="s">
        <v>3</v>
      </c>
      <c r="C157" s="6" t="s">
        <v>625</v>
      </c>
      <c r="D157" s="6" t="s">
        <v>626</v>
      </c>
      <c r="E157" s="6" t="s">
        <v>627</v>
      </c>
      <c r="F157" s="6" t="s">
        <v>84</v>
      </c>
      <c r="G157" s="6" t="s">
        <v>13</v>
      </c>
      <c r="H157" s="6" t="s">
        <v>108</v>
      </c>
      <c r="I157" s="6" t="s">
        <v>45</v>
      </c>
      <c r="J157" s="6" t="s">
        <v>46</v>
      </c>
      <c r="K157" s="6" t="s">
        <v>24</v>
      </c>
      <c r="L157" s="6" t="s">
        <v>25</v>
      </c>
      <c r="M157" s="6" t="s">
        <v>26</v>
      </c>
      <c r="N157" s="6" t="s">
        <v>27</v>
      </c>
      <c r="O157" s="6" t="s">
        <v>49</v>
      </c>
      <c r="P157" s="6" t="s">
        <v>50</v>
      </c>
    </row>
    <row r="158" spans="1:16" ht="31" x14ac:dyDescent="0.35">
      <c r="A158" s="15">
        <f>DATE(2025,10,16)+TIME(18,11,5)</f>
        <v>45946.757696759261</v>
      </c>
      <c r="B158" s="8" t="s">
        <v>2</v>
      </c>
      <c r="C158" s="8" t="s">
        <v>628</v>
      </c>
      <c r="D158" s="8" t="s">
        <v>629</v>
      </c>
      <c r="E158" s="8" t="s">
        <v>630</v>
      </c>
      <c r="F158" s="8" t="s">
        <v>199</v>
      </c>
      <c r="G158" s="8" t="s">
        <v>9</v>
      </c>
      <c r="H158" s="8" t="s">
        <v>200</v>
      </c>
      <c r="I158" s="8" t="s">
        <v>45</v>
      </c>
      <c r="J158" s="8" t="s">
        <v>46</v>
      </c>
      <c r="K158" s="8" t="s">
        <v>24</v>
      </c>
      <c r="L158" s="8" t="s">
        <v>25</v>
      </c>
      <c r="M158" s="8" t="s">
        <v>47</v>
      </c>
      <c r="N158" s="8" t="s">
        <v>27</v>
      </c>
      <c r="O158" s="8" t="s">
        <v>49</v>
      </c>
      <c r="P158" s="8" t="s">
        <v>39</v>
      </c>
    </row>
    <row r="159" spans="1:16" ht="62" x14ac:dyDescent="0.35">
      <c r="A159" s="14">
        <f>DATE(2025,9,25)+TIME(20,25,30)</f>
        <v>45925.851041666669</v>
      </c>
      <c r="B159" s="6" t="s">
        <v>3</v>
      </c>
      <c r="C159" s="6" t="s">
        <v>631</v>
      </c>
      <c r="D159" s="6" t="s">
        <v>632</v>
      </c>
      <c r="E159" s="6" t="s">
        <v>633</v>
      </c>
      <c r="F159" s="6" t="s">
        <v>75</v>
      </c>
      <c r="G159" s="6" t="s">
        <v>9</v>
      </c>
      <c r="H159" s="6" t="s">
        <v>80</v>
      </c>
      <c r="I159" s="6" t="s">
        <v>45</v>
      </c>
      <c r="J159" s="6" t="s">
        <v>135</v>
      </c>
      <c r="K159" s="6" t="s">
        <v>24</v>
      </c>
      <c r="L159" s="6" t="s">
        <v>25</v>
      </c>
      <c r="M159" s="6" t="s">
        <v>26</v>
      </c>
      <c r="N159" s="6" t="s">
        <v>27</v>
      </c>
      <c r="O159" s="6" t="s">
        <v>49</v>
      </c>
      <c r="P159" s="6" t="s">
        <v>50</v>
      </c>
    </row>
    <row r="160" spans="1:16" ht="62" x14ac:dyDescent="0.35">
      <c r="A160" s="15">
        <f>DATE(2025,9,16)+TIME(17,55,22)</f>
        <v>45916.746782407405</v>
      </c>
      <c r="B160" s="8" t="s">
        <v>3</v>
      </c>
      <c r="C160" s="8" t="s">
        <v>634</v>
      </c>
      <c r="D160" s="8" t="s">
        <v>635</v>
      </c>
      <c r="E160" s="8" t="s">
        <v>636</v>
      </c>
      <c r="F160" s="8" t="s">
        <v>637</v>
      </c>
      <c r="G160" s="8" t="s">
        <v>10</v>
      </c>
      <c r="H160" s="8" t="s">
        <v>638</v>
      </c>
      <c r="I160" s="8" t="s">
        <v>45</v>
      </c>
      <c r="J160" s="8" t="s">
        <v>46</v>
      </c>
      <c r="K160" s="8" t="s">
        <v>24</v>
      </c>
      <c r="L160" s="8" t="s">
        <v>25</v>
      </c>
      <c r="M160" s="8" t="s">
        <v>26</v>
      </c>
      <c r="N160" s="8" t="s">
        <v>27</v>
      </c>
      <c r="O160" s="8" t="s">
        <v>38</v>
      </c>
      <c r="P160" s="8" t="s">
        <v>50</v>
      </c>
    </row>
    <row r="161" spans="1:16" ht="31" x14ac:dyDescent="0.35">
      <c r="A161" s="14">
        <f>DATE(2025,9,26)+TIME(1,24,0)</f>
        <v>45926.058333333334</v>
      </c>
      <c r="B161" s="6" t="s">
        <v>2</v>
      </c>
      <c r="C161" s="6" t="s">
        <v>343</v>
      </c>
      <c r="D161" s="6" t="s">
        <v>639</v>
      </c>
      <c r="E161" s="6" t="s">
        <v>640</v>
      </c>
      <c r="F161" s="6" t="s">
        <v>43</v>
      </c>
      <c r="G161" s="6" t="s">
        <v>9</v>
      </c>
      <c r="H161" s="6" t="s">
        <v>218</v>
      </c>
      <c r="I161" s="6" t="s">
        <v>641</v>
      </c>
      <c r="J161" s="6" t="s">
        <v>23</v>
      </c>
      <c r="K161" s="6" t="s">
        <v>47</v>
      </c>
      <c r="L161" s="6" t="s">
        <v>25</v>
      </c>
      <c r="M161" s="6" t="s">
        <v>47</v>
      </c>
      <c r="N161" s="6" t="s">
        <v>48</v>
      </c>
      <c r="O161" s="6" t="s">
        <v>49</v>
      </c>
      <c r="P161" s="6" t="s">
        <v>50</v>
      </c>
    </row>
    <row r="162" spans="1:16" ht="46.5" x14ac:dyDescent="0.35">
      <c r="A162" s="15">
        <f>DATE(2025,10,17)+TIME(7,47,13)</f>
        <v>45947.324456018519</v>
      </c>
      <c r="B162" s="8" t="s">
        <v>2</v>
      </c>
      <c r="C162" s="8" t="s">
        <v>642</v>
      </c>
      <c r="D162" s="8" t="s">
        <v>643</v>
      </c>
      <c r="E162" s="8" t="s">
        <v>644</v>
      </c>
      <c r="F162" s="8" t="s">
        <v>199</v>
      </c>
      <c r="G162" s="8" t="s">
        <v>9</v>
      </c>
      <c r="H162" s="8" t="s">
        <v>200</v>
      </c>
      <c r="I162" s="8" t="s">
        <v>45</v>
      </c>
      <c r="J162" s="8" t="s">
        <v>135</v>
      </c>
      <c r="K162" s="8" t="s">
        <v>24</v>
      </c>
      <c r="L162" s="8" t="s">
        <v>25</v>
      </c>
      <c r="M162" s="8" t="s">
        <v>26</v>
      </c>
      <c r="N162" s="8" t="s">
        <v>27</v>
      </c>
      <c r="O162" s="8" t="s">
        <v>49</v>
      </c>
      <c r="P162" s="8" t="s">
        <v>50</v>
      </c>
    </row>
    <row r="163" spans="1:16" ht="62" x14ac:dyDescent="0.35">
      <c r="A163" s="14">
        <f>DATE(2025,10,14)+TIME(17,21,2)</f>
        <v>45944.722939814812</v>
      </c>
      <c r="B163" s="6" t="s">
        <v>3</v>
      </c>
      <c r="C163" s="6" t="s">
        <v>645</v>
      </c>
      <c r="D163" s="6" t="s">
        <v>73</v>
      </c>
      <c r="E163" s="6" t="s">
        <v>646</v>
      </c>
      <c r="F163" s="6" t="s">
        <v>647</v>
      </c>
      <c r="G163" s="6" t="s">
        <v>10</v>
      </c>
      <c r="H163" s="6" t="s">
        <v>648</v>
      </c>
      <c r="I163" s="6" t="s">
        <v>649</v>
      </c>
      <c r="J163" s="6" t="s">
        <v>650</v>
      </c>
      <c r="K163" s="6" t="s">
        <v>24</v>
      </c>
      <c r="L163" s="6" t="s">
        <v>25</v>
      </c>
      <c r="M163" s="6" t="s">
        <v>26</v>
      </c>
      <c r="N163" s="6" t="s">
        <v>27</v>
      </c>
      <c r="O163" s="6" t="s">
        <v>64</v>
      </c>
      <c r="P163" s="6" t="s">
        <v>65</v>
      </c>
    </row>
    <row r="164" spans="1:16" ht="46.5" x14ac:dyDescent="0.35">
      <c r="A164" s="15">
        <f>DATE(2025,10,16)+TIME(17,0,52)</f>
        <v>45946.708935185183</v>
      </c>
      <c r="B164" s="8" t="s">
        <v>2</v>
      </c>
      <c r="C164" s="8" t="s">
        <v>651</v>
      </c>
      <c r="D164" s="8" t="s">
        <v>652</v>
      </c>
      <c r="E164" s="8" t="s">
        <v>653</v>
      </c>
      <c r="F164" s="8" t="s">
        <v>98</v>
      </c>
      <c r="G164" s="8" t="s">
        <v>14</v>
      </c>
      <c r="H164" s="8" t="s">
        <v>654</v>
      </c>
      <c r="I164" s="8" t="s">
        <v>655</v>
      </c>
      <c r="J164" s="8" t="s">
        <v>109</v>
      </c>
      <c r="K164" s="8" t="s">
        <v>24</v>
      </c>
      <c r="L164" s="8" t="s">
        <v>25</v>
      </c>
      <c r="M164" s="8" t="s">
        <v>26</v>
      </c>
      <c r="N164" s="8" t="s">
        <v>27</v>
      </c>
      <c r="O164" s="8" t="s">
        <v>38</v>
      </c>
      <c r="P164" s="8" t="s">
        <v>114</v>
      </c>
    </row>
    <row r="165" spans="1:16" ht="15.5" x14ac:dyDescent="0.35">
      <c r="A165" s="14">
        <f>DATE(2025,10,27)+TIME(15,15,15)</f>
        <v>45957.63559027778</v>
      </c>
      <c r="B165" s="6" t="s">
        <v>2</v>
      </c>
      <c r="C165" s="6" t="s">
        <v>656</v>
      </c>
      <c r="D165" s="6" t="s">
        <v>61</v>
      </c>
      <c r="E165" s="6" t="s">
        <v>657</v>
      </c>
      <c r="F165" s="6" t="s">
        <v>118</v>
      </c>
      <c r="G165" s="6" t="s">
        <v>15</v>
      </c>
      <c r="H165" s="6" t="s">
        <v>658</v>
      </c>
      <c r="I165" s="6"/>
      <c r="J165" s="6"/>
      <c r="K165" s="6"/>
      <c r="L165" s="6"/>
      <c r="M165" s="6"/>
      <c r="N165" s="6"/>
      <c r="O165" s="6"/>
      <c r="P165" s="6"/>
    </row>
    <row r="166" spans="1:16" ht="31" x14ac:dyDescent="0.35">
      <c r="A166" s="15">
        <f>DATE(2025,9,30)+TIME(18,57,26)</f>
        <v>45930.789884259262</v>
      </c>
      <c r="B166" s="8" t="s">
        <v>2</v>
      </c>
      <c r="C166" s="8" t="s">
        <v>659</v>
      </c>
      <c r="D166" s="8" t="s">
        <v>660</v>
      </c>
      <c r="E166" s="8" t="s">
        <v>661</v>
      </c>
      <c r="F166" s="8" t="s">
        <v>75</v>
      </c>
      <c r="G166" s="8" t="s">
        <v>9</v>
      </c>
      <c r="H166" s="8" t="s">
        <v>76</v>
      </c>
      <c r="I166" s="8" t="s">
        <v>45</v>
      </c>
      <c r="J166" s="8" t="s">
        <v>23</v>
      </c>
      <c r="K166" s="8" t="s">
        <v>88</v>
      </c>
      <c r="L166" s="8" t="s">
        <v>25</v>
      </c>
      <c r="M166" s="8" t="s">
        <v>47</v>
      </c>
      <c r="N166" s="8" t="s">
        <v>48</v>
      </c>
      <c r="O166" s="8" t="s">
        <v>49</v>
      </c>
      <c r="P166" s="8" t="s">
        <v>50</v>
      </c>
    </row>
    <row r="167" spans="1:16" ht="46.5" x14ac:dyDescent="0.35">
      <c r="A167" s="14">
        <f>DATE(2025,10,8)+TIME(16,27,38)</f>
        <v>45938.685856481483</v>
      </c>
      <c r="B167" s="6" t="s">
        <v>2</v>
      </c>
      <c r="C167" s="6" t="s">
        <v>662</v>
      </c>
      <c r="D167" s="6" t="s">
        <v>186</v>
      </c>
      <c r="E167" s="6" t="s">
        <v>663</v>
      </c>
      <c r="F167" s="6" t="s">
        <v>129</v>
      </c>
      <c r="G167" s="6" t="s">
        <v>12</v>
      </c>
      <c r="H167" s="6" t="s">
        <v>664</v>
      </c>
      <c r="I167" s="6" t="s">
        <v>125</v>
      </c>
      <c r="J167" s="6" t="s">
        <v>23</v>
      </c>
      <c r="K167" s="6" t="s">
        <v>47</v>
      </c>
      <c r="L167" s="6" t="s">
        <v>25</v>
      </c>
      <c r="M167" s="6" t="s">
        <v>47</v>
      </c>
      <c r="N167" s="6" t="s">
        <v>27</v>
      </c>
      <c r="O167" s="6" t="s">
        <v>64</v>
      </c>
      <c r="P167" s="6" t="s">
        <v>59</v>
      </c>
    </row>
    <row r="168" spans="1:16" ht="62" x14ac:dyDescent="0.35">
      <c r="A168" s="15">
        <f>DATE(2025,9,22)+TIME(17,9,30)</f>
        <v>45922.714930555558</v>
      </c>
      <c r="B168" s="8" t="s">
        <v>3</v>
      </c>
      <c r="C168" s="8" t="s">
        <v>665</v>
      </c>
      <c r="D168" s="8" t="s">
        <v>666</v>
      </c>
      <c r="E168" s="8" t="s">
        <v>667</v>
      </c>
      <c r="F168" s="8" t="s">
        <v>84</v>
      </c>
      <c r="G168" s="8" t="s">
        <v>13</v>
      </c>
      <c r="H168" s="8" t="s">
        <v>238</v>
      </c>
      <c r="I168" s="8" t="s">
        <v>45</v>
      </c>
      <c r="J168" s="8" t="s">
        <v>46</v>
      </c>
      <c r="K168" s="8" t="s">
        <v>24</v>
      </c>
      <c r="L168" s="8" t="s">
        <v>25</v>
      </c>
      <c r="M168" s="8" t="s">
        <v>26</v>
      </c>
      <c r="N168" s="8" t="s">
        <v>27</v>
      </c>
      <c r="O168" s="8" t="s">
        <v>49</v>
      </c>
      <c r="P168" s="8" t="s">
        <v>50</v>
      </c>
    </row>
    <row r="169" spans="1:16" ht="31" x14ac:dyDescent="0.35">
      <c r="A169" s="14">
        <f>DATE(2025,10,10)+TIME(10,29,1)</f>
        <v>45940.43681712963</v>
      </c>
      <c r="B169" s="6" t="s">
        <v>2</v>
      </c>
      <c r="C169" s="6" t="s">
        <v>668</v>
      </c>
      <c r="D169" s="6" t="s">
        <v>613</v>
      </c>
      <c r="E169" s="6" t="s">
        <v>669</v>
      </c>
      <c r="F169" s="6" t="s">
        <v>63</v>
      </c>
      <c r="G169" s="6" t="s">
        <v>11</v>
      </c>
      <c r="H169" s="6"/>
      <c r="I169" s="6"/>
      <c r="J169" s="6"/>
      <c r="K169" s="6" t="s">
        <v>24</v>
      </c>
      <c r="L169" s="6" t="s">
        <v>25</v>
      </c>
      <c r="M169" s="6" t="s">
        <v>26</v>
      </c>
      <c r="N169" s="6" t="s">
        <v>27</v>
      </c>
      <c r="O169" s="6" t="s">
        <v>64</v>
      </c>
      <c r="P169" s="6" t="s">
        <v>65</v>
      </c>
    </row>
    <row r="170" spans="1:16" ht="46.5" x14ac:dyDescent="0.35">
      <c r="A170" s="15">
        <f>DATE(2025,10,27)+TIME(15,9,44)</f>
        <v>45957.63175925926</v>
      </c>
      <c r="B170" s="8" t="s">
        <v>2</v>
      </c>
      <c r="C170" s="8" t="s">
        <v>670</v>
      </c>
      <c r="D170" s="8" t="s">
        <v>671</v>
      </c>
      <c r="E170" s="8" t="s">
        <v>672</v>
      </c>
      <c r="F170" s="8" t="s">
        <v>33</v>
      </c>
      <c r="G170" s="8" t="s">
        <v>15</v>
      </c>
      <c r="H170" s="8" t="s">
        <v>134</v>
      </c>
      <c r="I170" s="8" t="s">
        <v>125</v>
      </c>
      <c r="J170" s="8" t="s">
        <v>135</v>
      </c>
      <c r="K170" s="8"/>
      <c r="L170" s="8"/>
      <c r="M170" s="8"/>
      <c r="N170" s="8"/>
      <c r="O170" s="8"/>
      <c r="P170" s="8"/>
    </row>
    <row r="171" spans="1:16" ht="46.5" x14ac:dyDescent="0.35">
      <c r="A171" s="14">
        <f>DATE(2025,10,14)+TIME(0,31,35)</f>
        <v>45944.021932870368</v>
      </c>
      <c r="B171" s="6" t="s">
        <v>2</v>
      </c>
      <c r="C171" s="6" t="s">
        <v>343</v>
      </c>
      <c r="D171" s="6" t="s">
        <v>673</v>
      </c>
      <c r="E171" s="6" t="s">
        <v>674</v>
      </c>
      <c r="F171" s="6" t="s">
        <v>175</v>
      </c>
      <c r="G171" s="6" t="s">
        <v>9</v>
      </c>
      <c r="H171" s="6" t="s">
        <v>414</v>
      </c>
      <c r="I171" s="6" t="s">
        <v>45</v>
      </c>
      <c r="J171" s="6" t="s">
        <v>675</v>
      </c>
      <c r="K171" s="6" t="s">
        <v>88</v>
      </c>
      <c r="L171" s="6" t="s">
        <v>139</v>
      </c>
      <c r="M171" s="6" t="s">
        <v>26</v>
      </c>
      <c r="N171" s="6" t="s">
        <v>48</v>
      </c>
      <c r="O171" s="6" t="s">
        <v>49</v>
      </c>
      <c r="P171" s="6" t="s">
        <v>39</v>
      </c>
    </row>
    <row r="172" spans="1:16" ht="31" x14ac:dyDescent="0.35">
      <c r="A172" s="15">
        <f>DATE(2025,10,23)+TIME(17,43,38)</f>
        <v>45953.738634259258</v>
      </c>
      <c r="B172" s="8" t="s">
        <v>2</v>
      </c>
      <c r="C172" s="8" t="s">
        <v>676</v>
      </c>
      <c r="D172" s="8" t="s">
        <v>677</v>
      </c>
      <c r="E172" s="8" t="s">
        <v>678</v>
      </c>
      <c r="F172" s="8" t="s">
        <v>43</v>
      </c>
      <c r="G172" s="8" t="s">
        <v>9</v>
      </c>
      <c r="H172" s="8" t="s">
        <v>218</v>
      </c>
      <c r="I172" s="8" t="s">
        <v>45</v>
      </c>
      <c r="J172" s="8" t="s">
        <v>46</v>
      </c>
      <c r="K172" s="8"/>
      <c r="L172" s="8"/>
      <c r="M172" s="8"/>
      <c r="N172" s="8"/>
      <c r="O172" s="8"/>
      <c r="P172" s="8"/>
    </row>
    <row r="173" spans="1:16" ht="46.5" x14ac:dyDescent="0.35">
      <c r="A173" s="14">
        <f>DATE(2025,10,23)+TIME(14,12,17)</f>
        <v>45953.591863425929</v>
      </c>
      <c r="B173" s="6" t="s">
        <v>2</v>
      </c>
      <c r="C173" s="6" t="s">
        <v>679</v>
      </c>
      <c r="D173" s="6" t="s">
        <v>680</v>
      </c>
      <c r="E173" s="6" t="s">
        <v>681</v>
      </c>
      <c r="F173" s="6" t="s">
        <v>118</v>
      </c>
      <c r="G173" s="6" t="s">
        <v>14</v>
      </c>
      <c r="H173" s="6" t="s">
        <v>682</v>
      </c>
      <c r="I173" s="6" t="s">
        <v>125</v>
      </c>
      <c r="J173" s="6" t="s">
        <v>135</v>
      </c>
      <c r="K173" s="6" t="s">
        <v>47</v>
      </c>
      <c r="L173" s="6" t="s">
        <v>25</v>
      </c>
      <c r="M173" s="6" t="s">
        <v>26</v>
      </c>
      <c r="N173" s="6" t="s">
        <v>48</v>
      </c>
      <c r="O173" s="6" t="s">
        <v>64</v>
      </c>
      <c r="P173" s="6" t="s">
        <v>65</v>
      </c>
    </row>
    <row r="174" spans="1:16" ht="46.5" x14ac:dyDescent="0.35">
      <c r="A174" s="15">
        <f>DATE(2025,10,16)+TIME(11,55,22)</f>
        <v>45946.496782407405</v>
      </c>
      <c r="B174" s="8" t="s">
        <v>2</v>
      </c>
      <c r="C174" s="8" t="s">
        <v>683</v>
      </c>
      <c r="D174" s="8" t="s">
        <v>348</v>
      </c>
      <c r="E174" s="8" t="s">
        <v>684</v>
      </c>
      <c r="F174" s="8" t="s">
        <v>33</v>
      </c>
      <c r="G174" s="8" t="s">
        <v>9</v>
      </c>
      <c r="H174" s="8" t="s">
        <v>134</v>
      </c>
      <c r="I174" s="8" t="s">
        <v>45</v>
      </c>
      <c r="J174" s="8" t="s">
        <v>109</v>
      </c>
      <c r="K174" s="8" t="s">
        <v>24</v>
      </c>
      <c r="L174" s="8" t="s">
        <v>25</v>
      </c>
      <c r="M174" s="8" t="s">
        <v>26</v>
      </c>
      <c r="N174" s="8" t="s">
        <v>27</v>
      </c>
      <c r="O174" s="8" t="s">
        <v>49</v>
      </c>
      <c r="P174" s="8" t="s">
        <v>39</v>
      </c>
    </row>
    <row r="175" spans="1:16" ht="46.5" x14ac:dyDescent="0.35">
      <c r="A175" s="14">
        <f>DATE(2025,10,27)+TIME(15,13,50)</f>
        <v>45957.634606481479</v>
      </c>
      <c r="B175" s="6" t="s">
        <v>2</v>
      </c>
      <c r="C175" s="6" t="s">
        <v>685</v>
      </c>
      <c r="D175" s="6" t="s">
        <v>686</v>
      </c>
      <c r="E175" s="6" t="s">
        <v>687</v>
      </c>
      <c r="F175" s="6" t="s">
        <v>33</v>
      </c>
      <c r="G175" s="6" t="s">
        <v>15</v>
      </c>
      <c r="H175" s="6" t="s">
        <v>183</v>
      </c>
      <c r="I175" s="6" t="s">
        <v>125</v>
      </c>
      <c r="J175" s="6" t="s">
        <v>135</v>
      </c>
      <c r="K175" s="6"/>
      <c r="L175" s="6"/>
      <c r="M175" s="6"/>
      <c r="N175" s="6"/>
      <c r="O175" s="6"/>
      <c r="P175" s="6"/>
    </row>
    <row r="176" spans="1:16" ht="31" x14ac:dyDescent="0.35">
      <c r="A176" s="15">
        <f>DATE(2025,10,9)+TIME(11,31,54)</f>
        <v>45939.480486111112</v>
      </c>
      <c r="B176" s="8" t="s">
        <v>2</v>
      </c>
      <c r="C176" s="8" t="s">
        <v>688</v>
      </c>
      <c r="D176" s="8" t="s">
        <v>689</v>
      </c>
      <c r="E176" s="8" t="s">
        <v>690</v>
      </c>
      <c r="F176" s="8" t="s">
        <v>54</v>
      </c>
      <c r="G176" s="8" t="s">
        <v>9</v>
      </c>
      <c r="H176" s="8" t="s">
        <v>691</v>
      </c>
      <c r="I176" s="8" t="s">
        <v>45</v>
      </c>
      <c r="J176" s="8" t="s">
        <v>23</v>
      </c>
      <c r="K176" s="8" t="s">
        <v>24</v>
      </c>
      <c r="L176" s="8" t="s">
        <v>25</v>
      </c>
      <c r="M176" s="8" t="s">
        <v>26</v>
      </c>
      <c r="N176" s="8" t="s">
        <v>27</v>
      </c>
      <c r="O176" s="8" t="s">
        <v>58</v>
      </c>
      <c r="P176" s="8" t="s">
        <v>50</v>
      </c>
    </row>
    <row r="177" spans="1:16" ht="31" x14ac:dyDescent="0.35">
      <c r="A177" s="14">
        <f>DATE(2025,9,4)+TIME(14,4,2)</f>
        <v>45904.586134259262</v>
      </c>
      <c r="B177" s="6" t="s">
        <v>2</v>
      </c>
      <c r="C177" s="6" t="s">
        <v>692</v>
      </c>
      <c r="D177" s="6" t="s">
        <v>693</v>
      </c>
      <c r="E177" s="6" t="s">
        <v>694</v>
      </c>
      <c r="F177" s="6" t="s">
        <v>63</v>
      </c>
      <c r="G177" s="6" t="s">
        <v>11</v>
      </c>
      <c r="H177" s="6"/>
      <c r="I177" s="6"/>
      <c r="J177" s="6"/>
      <c r="K177" s="6" t="s">
        <v>24</v>
      </c>
      <c r="L177" s="6" t="s">
        <v>37</v>
      </c>
      <c r="M177" s="6" t="s">
        <v>26</v>
      </c>
      <c r="N177" s="6" t="s">
        <v>27</v>
      </c>
      <c r="O177" s="6" t="s">
        <v>58</v>
      </c>
      <c r="P177" s="6" t="s">
        <v>50</v>
      </c>
    </row>
    <row r="178" spans="1:16" ht="62" x14ac:dyDescent="0.35">
      <c r="A178" s="15">
        <f>DATE(2025,9,24)+TIME(14,33,14)</f>
        <v>45924.606412037036</v>
      </c>
      <c r="B178" s="8" t="s">
        <v>3</v>
      </c>
      <c r="C178" s="8" t="s">
        <v>695</v>
      </c>
      <c r="D178" s="8" t="s">
        <v>696</v>
      </c>
      <c r="E178" s="8" t="s">
        <v>697</v>
      </c>
      <c r="F178" s="8" t="s">
        <v>69</v>
      </c>
      <c r="G178" s="8" t="s">
        <v>9</v>
      </c>
      <c r="H178" s="8" t="s">
        <v>575</v>
      </c>
      <c r="I178" s="8" t="s">
        <v>104</v>
      </c>
      <c r="J178" s="8" t="s">
        <v>23</v>
      </c>
      <c r="K178" s="8" t="s">
        <v>24</v>
      </c>
      <c r="L178" s="8" t="s">
        <v>25</v>
      </c>
      <c r="M178" s="8" t="s">
        <v>26</v>
      </c>
      <c r="N178" s="8" t="s">
        <v>27</v>
      </c>
      <c r="O178" s="8" t="s">
        <v>64</v>
      </c>
      <c r="P178" s="8" t="s">
        <v>65</v>
      </c>
    </row>
    <row r="179" spans="1:16" ht="46.5" x14ac:dyDescent="0.35">
      <c r="A179" s="14">
        <f>DATE(2025,10,2)+TIME(14,31,48)</f>
        <v>45932.605416666665</v>
      </c>
      <c r="B179" s="6" t="s">
        <v>2</v>
      </c>
      <c r="C179" s="6" t="s">
        <v>698</v>
      </c>
      <c r="D179" s="6" t="s">
        <v>699</v>
      </c>
      <c r="E179" s="6" t="s">
        <v>700</v>
      </c>
      <c r="F179" s="6" t="s">
        <v>161</v>
      </c>
      <c r="G179" s="6" t="s">
        <v>9</v>
      </c>
      <c r="H179" s="6" t="s">
        <v>701</v>
      </c>
      <c r="I179" s="6" t="s">
        <v>45</v>
      </c>
      <c r="J179" s="6" t="s">
        <v>527</v>
      </c>
      <c r="K179" s="6" t="s">
        <v>24</v>
      </c>
      <c r="L179" s="6" t="s">
        <v>57</v>
      </c>
      <c r="M179" s="6" t="s">
        <v>26</v>
      </c>
      <c r="N179" s="6" t="s">
        <v>27</v>
      </c>
      <c r="O179" s="6" t="s">
        <v>49</v>
      </c>
      <c r="P179" s="6" t="s">
        <v>50</v>
      </c>
    </row>
    <row r="180" spans="1:16" ht="31" x14ac:dyDescent="0.35">
      <c r="A180" s="15">
        <f>DATE(2025,9,30)+TIME(18,28,23)</f>
        <v>45930.76971064815</v>
      </c>
      <c r="B180" s="8" t="s">
        <v>2</v>
      </c>
      <c r="C180" s="8" t="s">
        <v>702</v>
      </c>
      <c r="D180" s="8" t="s">
        <v>703</v>
      </c>
      <c r="E180" s="8" t="s">
        <v>704</v>
      </c>
      <c r="F180" s="8" t="s">
        <v>75</v>
      </c>
      <c r="G180" s="8" t="s">
        <v>9</v>
      </c>
      <c r="H180" s="8" t="s">
        <v>76</v>
      </c>
      <c r="I180" s="8" t="s">
        <v>45</v>
      </c>
      <c r="J180" s="8" t="s">
        <v>23</v>
      </c>
      <c r="K180" s="8" t="s">
        <v>88</v>
      </c>
      <c r="L180" s="8" t="s">
        <v>25</v>
      </c>
      <c r="M180" s="8" t="s">
        <v>47</v>
      </c>
      <c r="N180" s="8" t="s">
        <v>48</v>
      </c>
      <c r="O180" s="8" t="s">
        <v>49</v>
      </c>
      <c r="P180" s="8" t="s">
        <v>50</v>
      </c>
    </row>
    <row r="181" spans="1:16" ht="31" x14ac:dyDescent="0.35">
      <c r="A181" s="14">
        <f>DATE(2025,10,23)+TIME(21,14,14)</f>
        <v>45953.884884259256</v>
      </c>
      <c r="B181" s="6" t="s">
        <v>2</v>
      </c>
      <c r="C181" s="6" t="s">
        <v>705</v>
      </c>
      <c r="D181" s="6" t="s">
        <v>573</v>
      </c>
      <c r="E181" s="6" t="s">
        <v>706</v>
      </c>
      <c r="F181" s="6" t="s">
        <v>33</v>
      </c>
      <c r="G181" s="6" t="s">
        <v>9</v>
      </c>
      <c r="H181" s="6"/>
      <c r="I181" s="6"/>
      <c r="J181" s="6"/>
      <c r="K181" s="6"/>
      <c r="L181" s="6"/>
      <c r="M181" s="6"/>
      <c r="N181" s="6"/>
      <c r="O181" s="6"/>
      <c r="P181" s="6"/>
    </row>
    <row r="182" spans="1:16" ht="46.5" x14ac:dyDescent="0.35">
      <c r="A182" s="15">
        <f>DATE(2025,10,7)+TIME(19,2,54)</f>
        <v>45937.793680555558</v>
      </c>
      <c r="B182" s="8" t="s">
        <v>2</v>
      </c>
      <c r="C182" s="8" t="s">
        <v>707</v>
      </c>
      <c r="D182" s="8" t="s">
        <v>348</v>
      </c>
      <c r="E182" s="8" t="s">
        <v>708</v>
      </c>
      <c r="F182" s="8" t="s">
        <v>93</v>
      </c>
      <c r="G182" s="8" t="s">
        <v>13</v>
      </c>
      <c r="H182" s="8" t="s">
        <v>157</v>
      </c>
      <c r="I182" s="8" t="s">
        <v>45</v>
      </c>
      <c r="J182" s="8" t="s">
        <v>109</v>
      </c>
      <c r="K182" s="8" t="s">
        <v>24</v>
      </c>
      <c r="L182" s="8" t="s">
        <v>25</v>
      </c>
      <c r="M182" s="8" t="s">
        <v>26</v>
      </c>
      <c r="N182" s="8" t="s">
        <v>27</v>
      </c>
      <c r="O182" s="8" t="s">
        <v>49</v>
      </c>
      <c r="P182" s="8" t="s">
        <v>50</v>
      </c>
    </row>
    <row r="183" spans="1:16" ht="46.5" x14ac:dyDescent="0.35">
      <c r="A183" s="14">
        <f>DATE(2025,9,26)+TIME(17,27,14)</f>
        <v>45926.72724537037</v>
      </c>
      <c r="B183" s="6" t="s">
        <v>2</v>
      </c>
      <c r="C183" s="6" t="s">
        <v>709</v>
      </c>
      <c r="D183" s="6" t="s">
        <v>710</v>
      </c>
      <c r="E183" s="6" t="s">
        <v>711</v>
      </c>
      <c r="F183" s="6" t="s">
        <v>98</v>
      </c>
      <c r="G183" s="6" t="s">
        <v>9</v>
      </c>
      <c r="H183" s="6" t="s">
        <v>598</v>
      </c>
      <c r="I183" s="6" t="s">
        <v>45</v>
      </c>
      <c r="J183" s="6" t="s">
        <v>135</v>
      </c>
      <c r="K183" s="6" t="s">
        <v>24</v>
      </c>
      <c r="L183" s="6" t="s">
        <v>25</v>
      </c>
      <c r="M183" s="6" t="s">
        <v>26</v>
      </c>
      <c r="N183" s="6" t="s">
        <v>27</v>
      </c>
      <c r="O183" s="6" t="s">
        <v>49</v>
      </c>
      <c r="P183" s="6" t="s">
        <v>50</v>
      </c>
    </row>
    <row r="184" spans="1:16" ht="31" x14ac:dyDescent="0.35">
      <c r="A184" s="15">
        <f>DATE(2025,10,12)+TIME(11,44,33)</f>
        <v>45942.489270833335</v>
      </c>
      <c r="B184" s="8" t="s">
        <v>2</v>
      </c>
      <c r="C184" s="8" t="s">
        <v>712</v>
      </c>
      <c r="D184" s="8" t="s">
        <v>220</v>
      </c>
      <c r="E184" s="8" t="s">
        <v>713</v>
      </c>
      <c r="F184" s="8" t="s">
        <v>175</v>
      </c>
      <c r="G184" s="8" t="s">
        <v>12</v>
      </c>
      <c r="H184" s="8" t="s">
        <v>176</v>
      </c>
      <c r="I184" s="8" t="s">
        <v>104</v>
      </c>
      <c r="J184" s="8" t="s">
        <v>23</v>
      </c>
      <c r="K184" s="8" t="s">
        <v>24</v>
      </c>
      <c r="L184" s="8" t="s">
        <v>25</v>
      </c>
      <c r="M184" s="8" t="s">
        <v>26</v>
      </c>
      <c r="N184" s="8" t="s">
        <v>27</v>
      </c>
      <c r="O184" s="8" t="s">
        <v>64</v>
      </c>
      <c r="P184" s="8" t="s">
        <v>65</v>
      </c>
    </row>
    <row r="185" spans="1:16" ht="62" x14ac:dyDescent="0.35">
      <c r="A185" s="14">
        <f>DATE(2025,10,5)+TIME(6,41,4)</f>
        <v>45935.27851851852</v>
      </c>
      <c r="B185" s="6" t="s">
        <v>3</v>
      </c>
      <c r="C185" s="6" t="s">
        <v>714</v>
      </c>
      <c r="D185" s="6" t="s">
        <v>715</v>
      </c>
      <c r="E185" s="6" t="s">
        <v>716</v>
      </c>
      <c r="F185" s="6" t="s">
        <v>98</v>
      </c>
      <c r="G185" s="6" t="s">
        <v>12</v>
      </c>
      <c r="H185" s="6" t="s">
        <v>99</v>
      </c>
      <c r="I185" s="6" t="s">
        <v>717</v>
      </c>
      <c r="J185" s="6" t="s">
        <v>350</v>
      </c>
      <c r="K185" s="6" t="s">
        <v>24</v>
      </c>
      <c r="L185" s="6" t="s">
        <v>25</v>
      </c>
      <c r="M185" s="6" t="s">
        <v>26</v>
      </c>
      <c r="N185" s="6" t="s">
        <v>27</v>
      </c>
      <c r="O185" s="6" t="s">
        <v>64</v>
      </c>
      <c r="P185" s="6" t="s">
        <v>65</v>
      </c>
    </row>
    <row r="186" spans="1:16" ht="46.5" x14ac:dyDescent="0.35">
      <c r="A186" s="15">
        <f>DATE(2025,10,23)+TIME(22,33,6)</f>
        <v>45953.939652777779</v>
      </c>
      <c r="B186" s="8" t="s">
        <v>2</v>
      </c>
      <c r="C186" s="8" t="s">
        <v>718</v>
      </c>
      <c r="D186" s="8" t="s">
        <v>719</v>
      </c>
      <c r="E186" s="8" t="s">
        <v>720</v>
      </c>
      <c r="F186" s="8" t="s">
        <v>129</v>
      </c>
      <c r="G186" s="8" t="s">
        <v>12</v>
      </c>
      <c r="H186" s="8" t="s">
        <v>721</v>
      </c>
      <c r="I186" s="8"/>
      <c r="J186" s="8" t="s">
        <v>135</v>
      </c>
      <c r="K186" s="8"/>
      <c r="L186" s="8"/>
      <c r="M186" s="8"/>
      <c r="N186" s="8"/>
      <c r="O186" s="8"/>
      <c r="P186" s="8"/>
    </row>
    <row r="187" spans="1:16" ht="46.5" x14ac:dyDescent="0.35">
      <c r="A187" s="14">
        <f>DATE(2025,9,27)+TIME(19,34,2)</f>
        <v>45927.815300925926</v>
      </c>
      <c r="B187" s="6" t="s">
        <v>2</v>
      </c>
      <c r="C187" s="6" t="s">
        <v>722</v>
      </c>
      <c r="D187" s="6" t="s">
        <v>723</v>
      </c>
      <c r="E187" s="6" t="s">
        <v>724</v>
      </c>
      <c r="F187" s="6" t="s">
        <v>20</v>
      </c>
      <c r="G187" s="6" t="s">
        <v>9</v>
      </c>
      <c r="H187" s="6" t="s">
        <v>725</v>
      </c>
      <c r="I187" s="6" t="s">
        <v>45</v>
      </c>
      <c r="J187" s="6" t="s">
        <v>726</v>
      </c>
      <c r="K187" s="6" t="s">
        <v>88</v>
      </c>
      <c r="L187" s="6" t="s">
        <v>25</v>
      </c>
      <c r="M187" s="6" t="s">
        <v>26</v>
      </c>
      <c r="N187" s="6" t="s">
        <v>48</v>
      </c>
      <c r="O187" s="6" t="s">
        <v>49</v>
      </c>
      <c r="P187" s="6" t="s">
        <v>50</v>
      </c>
    </row>
    <row r="188" spans="1:16" ht="31" x14ac:dyDescent="0.35">
      <c r="A188" s="15">
        <f>DATE(2025,9,26)+TIME(10,57,15)</f>
        <v>45926.456423611111</v>
      </c>
      <c r="B188" s="8" t="s">
        <v>2</v>
      </c>
      <c r="C188" s="8" t="s">
        <v>727</v>
      </c>
      <c r="D188" s="8" t="s">
        <v>728</v>
      </c>
      <c r="E188" s="8" t="s">
        <v>729</v>
      </c>
      <c r="F188" s="8" t="s">
        <v>730</v>
      </c>
      <c r="G188" s="8" t="s">
        <v>15</v>
      </c>
      <c r="H188" s="8" t="s">
        <v>731</v>
      </c>
      <c r="I188" s="8" t="s">
        <v>125</v>
      </c>
      <c r="J188" s="8" t="s">
        <v>732</v>
      </c>
      <c r="K188" s="8" t="s">
        <v>24</v>
      </c>
      <c r="L188" s="8" t="s">
        <v>57</v>
      </c>
      <c r="M188" s="8" t="s">
        <v>26</v>
      </c>
      <c r="N188" s="8" t="s">
        <v>27</v>
      </c>
      <c r="O188" s="8" t="s">
        <v>28</v>
      </c>
      <c r="P188" s="8" t="s">
        <v>65</v>
      </c>
    </row>
    <row r="189" spans="1:16" ht="31" x14ac:dyDescent="0.35">
      <c r="A189" s="14">
        <f>DATE(2025,9,18)+TIME(18,19,7)</f>
        <v>45918.763275462959</v>
      </c>
      <c r="B189" s="6" t="s">
        <v>2</v>
      </c>
      <c r="C189" s="6" t="s">
        <v>733</v>
      </c>
      <c r="D189" s="6" t="s">
        <v>734</v>
      </c>
      <c r="E189" s="6" t="s">
        <v>735</v>
      </c>
      <c r="F189" s="6" t="s">
        <v>63</v>
      </c>
      <c r="G189" s="6" t="s">
        <v>11</v>
      </c>
      <c r="H189" s="6"/>
      <c r="I189" s="6"/>
      <c r="J189" s="6"/>
      <c r="K189" s="6" t="s">
        <v>24</v>
      </c>
      <c r="L189" s="6" t="s">
        <v>25</v>
      </c>
      <c r="M189" s="6" t="s">
        <v>26</v>
      </c>
      <c r="N189" s="6" t="s">
        <v>27</v>
      </c>
      <c r="O189" s="6" t="s">
        <v>64</v>
      </c>
      <c r="P189" s="6" t="s">
        <v>29</v>
      </c>
    </row>
    <row r="190" spans="1:16" ht="31" x14ac:dyDescent="0.35">
      <c r="A190" s="15">
        <f>DATE(2025,10,2)+TIME(0,22,35)</f>
        <v>45932.015682870369</v>
      </c>
      <c r="B190" s="8" t="s">
        <v>2</v>
      </c>
      <c r="C190" s="8" t="s">
        <v>736</v>
      </c>
      <c r="D190" s="8" t="s">
        <v>737</v>
      </c>
      <c r="E190" s="8" t="s">
        <v>738</v>
      </c>
      <c r="F190" s="8" t="s">
        <v>161</v>
      </c>
      <c r="G190" s="8" t="s">
        <v>12</v>
      </c>
      <c r="H190" s="8" t="s">
        <v>320</v>
      </c>
      <c r="I190" s="8" t="s">
        <v>125</v>
      </c>
      <c r="J190" s="8" t="s">
        <v>23</v>
      </c>
      <c r="K190" s="8" t="s">
        <v>88</v>
      </c>
      <c r="L190" s="8" t="s">
        <v>25</v>
      </c>
      <c r="M190" s="8" t="s">
        <v>26</v>
      </c>
      <c r="N190" s="8" t="s">
        <v>48</v>
      </c>
      <c r="O190" s="8" t="s">
        <v>58</v>
      </c>
      <c r="P190" s="8" t="s">
        <v>59</v>
      </c>
    </row>
    <row r="191" spans="1:16" ht="31" x14ac:dyDescent="0.35">
      <c r="A191" s="14">
        <f>DATE(2025,10,16)+TIME(10,19,19)</f>
        <v>45946.430081018516</v>
      </c>
      <c r="B191" s="6" t="s">
        <v>2</v>
      </c>
      <c r="C191" s="6" t="s">
        <v>739</v>
      </c>
      <c r="D191" s="6" t="s">
        <v>740</v>
      </c>
      <c r="E191" s="6" t="s">
        <v>741</v>
      </c>
      <c r="F191" s="6" t="s">
        <v>742</v>
      </c>
      <c r="G191" s="6" t="s">
        <v>12</v>
      </c>
      <c r="H191" s="6" t="s">
        <v>331</v>
      </c>
      <c r="I191" s="6" t="s">
        <v>125</v>
      </c>
      <c r="J191" s="6" t="s">
        <v>23</v>
      </c>
      <c r="K191" s="6" t="s">
        <v>24</v>
      </c>
      <c r="L191" s="6" t="s">
        <v>25</v>
      </c>
      <c r="M191" s="6" t="s">
        <v>26</v>
      </c>
      <c r="N191" s="6" t="s">
        <v>27</v>
      </c>
      <c r="O191" s="6" t="s">
        <v>64</v>
      </c>
      <c r="P191" s="6" t="s">
        <v>65</v>
      </c>
    </row>
    <row r="192" spans="1:16" ht="31" x14ac:dyDescent="0.35">
      <c r="A192" s="15">
        <f>DATE(2025,10,8)+TIME(12,2,56)</f>
        <v>45938.50203703704</v>
      </c>
      <c r="B192" s="8" t="s">
        <v>2</v>
      </c>
      <c r="C192" s="8" t="s">
        <v>743</v>
      </c>
      <c r="D192" s="8" t="s">
        <v>744</v>
      </c>
      <c r="E192" s="8" t="s">
        <v>745</v>
      </c>
      <c r="F192" s="8" t="s">
        <v>199</v>
      </c>
      <c r="G192" s="8" t="s">
        <v>13</v>
      </c>
      <c r="H192" s="8" t="s">
        <v>199</v>
      </c>
      <c r="I192" s="8" t="s">
        <v>746</v>
      </c>
      <c r="J192" s="8" t="s">
        <v>747</v>
      </c>
      <c r="K192" s="8" t="s">
        <v>24</v>
      </c>
      <c r="L192" s="8" t="s">
        <v>25</v>
      </c>
      <c r="M192" s="8" t="s">
        <v>26</v>
      </c>
      <c r="N192" s="8" t="s">
        <v>27</v>
      </c>
      <c r="O192" s="8" t="s">
        <v>38</v>
      </c>
      <c r="P192" s="8" t="s">
        <v>114</v>
      </c>
    </row>
    <row r="193" spans="1:16" ht="31" x14ac:dyDescent="0.35">
      <c r="A193" s="14">
        <f>DATE(2025,10,2)+TIME(17,17,59)</f>
        <v>45932.720821759256</v>
      </c>
      <c r="B193" s="6" t="s">
        <v>2</v>
      </c>
      <c r="C193" s="6" t="s">
        <v>748</v>
      </c>
      <c r="D193" s="6" t="s">
        <v>601</v>
      </c>
      <c r="E193" s="6" t="s">
        <v>749</v>
      </c>
      <c r="F193" s="6" t="s">
        <v>69</v>
      </c>
      <c r="G193" s="6" t="s">
        <v>9</v>
      </c>
      <c r="H193" s="6" t="s">
        <v>575</v>
      </c>
      <c r="I193" s="6" t="s">
        <v>100</v>
      </c>
      <c r="J193" s="6" t="s">
        <v>23</v>
      </c>
      <c r="K193" s="6" t="s">
        <v>88</v>
      </c>
      <c r="L193" s="6" t="s">
        <v>25</v>
      </c>
      <c r="M193" s="6" t="s">
        <v>26</v>
      </c>
      <c r="N193" s="6" t="s">
        <v>48</v>
      </c>
      <c r="O193" s="6" t="s">
        <v>49</v>
      </c>
      <c r="P193" s="6" t="s">
        <v>50</v>
      </c>
    </row>
    <row r="194" spans="1:16" ht="31" x14ac:dyDescent="0.35">
      <c r="A194" s="15">
        <f>DATE(2025,10,12)+TIME(10,54,2)</f>
        <v>45942.454189814816</v>
      </c>
      <c r="B194" s="8" t="s">
        <v>2</v>
      </c>
      <c r="C194" s="8" t="s">
        <v>750</v>
      </c>
      <c r="D194" s="8" t="s">
        <v>751</v>
      </c>
      <c r="E194" s="8" t="s">
        <v>752</v>
      </c>
      <c r="F194" s="8" t="s">
        <v>175</v>
      </c>
      <c r="G194" s="8" t="s">
        <v>9</v>
      </c>
      <c r="H194" s="8" t="s">
        <v>242</v>
      </c>
      <c r="I194" s="8" t="s">
        <v>45</v>
      </c>
      <c r="J194" s="8" t="s">
        <v>243</v>
      </c>
      <c r="K194" s="8" t="s">
        <v>24</v>
      </c>
      <c r="L194" s="8" t="s">
        <v>25</v>
      </c>
      <c r="M194" s="8" t="s">
        <v>26</v>
      </c>
      <c r="N194" s="8" t="s">
        <v>27</v>
      </c>
      <c r="O194" s="8" t="s">
        <v>58</v>
      </c>
      <c r="P194" s="8" t="s">
        <v>39</v>
      </c>
    </row>
    <row r="195" spans="1:16" ht="46.5" x14ac:dyDescent="0.35">
      <c r="A195" s="14">
        <f>DATE(2025,10,16)+TIME(22,58,50)</f>
        <v>45946.95752314815</v>
      </c>
      <c r="B195" s="6" t="s">
        <v>2</v>
      </c>
      <c r="C195" s="6" t="s">
        <v>753</v>
      </c>
      <c r="D195" s="6" t="s">
        <v>754</v>
      </c>
      <c r="E195" s="6" t="s">
        <v>755</v>
      </c>
      <c r="F195" s="6" t="s">
        <v>20</v>
      </c>
      <c r="G195" s="6" t="s">
        <v>9</v>
      </c>
      <c r="H195" s="6" t="s">
        <v>756</v>
      </c>
      <c r="I195" s="6" t="s">
        <v>45</v>
      </c>
      <c r="J195" s="6" t="s">
        <v>726</v>
      </c>
      <c r="K195" s="6" t="s">
        <v>24</v>
      </c>
      <c r="L195" s="6" t="s">
        <v>139</v>
      </c>
      <c r="M195" s="6"/>
      <c r="N195" s="6" t="s">
        <v>27</v>
      </c>
      <c r="O195" s="6" t="s">
        <v>49</v>
      </c>
      <c r="P195" s="6" t="s">
        <v>39</v>
      </c>
    </row>
    <row r="196" spans="1:16" ht="31" x14ac:dyDescent="0.35">
      <c r="A196" s="15">
        <f>DATE(2025,9,27)+TIME(10,22,20)</f>
        <v>45927.432175925926</v>
      </c>
      <c r="B196" s="8" t="s">
        <v>2</v>
      </c>
      <c r="C196" s="8" t="s">
        <v>757</v>
      </c>
      <c r="D196" s="8" t="s">
        <v>758</v>
      </c>
      <c r="E196" s="8" t="s">
        <v>759</v>
      </c>
      <c r="F196" s="8" t="s">
        <v>75</v>
      </c>
      <c r="G196" s="8" t="s">
        <v>9</v>
      </c>
      <c r="H196" s="8" t="s">
        <v>323</v>
      </c>
      <c r="I196" s="8" t="s">
        <v>45</v>
      </c>
      <c r="J196" s="8" t="s">
        <v>23</v>
      </c>
      <c r="K196" s="8" t="s">
        <v>24</v>
      </c>
      <c r="L196" s="8" t="s">
        <v>25</v>
      </c>
      <c r="M196" s="8" t="s">
        <v>47</v>
      </c>
      <c r="N196" s="8" t="s">
        <v>27</v>
      </c>
      <c r="O196" s="8" t="s">
        <v>49</v>
      </c>
      <c r="P196" s="8" t="s">
        <v>50</v>
      </c>
    </row>
    <row r="197" spans="1:16" ht="31" x14ac:dyDescent="0.35">
      <c r="A197" s="14">
        <f>DATE(2025,10,3)+TIME(12,44,46)</f>
        <v>45933.531087962961</v>
      </c>
      <c r="B197" s="6" t="s">
        <v>2</v>
      </c>
      <c r="C197" s="6" t="s">
        <v>555</v>
      </c>
      <c r="D197" s="6" t="s">
        <v>613</v>
      </c>
      <c r="E197" s="6" t="s">
        <v>760</v>
      </c>
      <c r="F197" s="6" t="s">
        <v>63</v>
      </c>
      <c r="G197" s="6" t="s">
        <v>14</v>
      </c>
      <c r="H197" s="6" t="s">
        <v>63</v>
      </c>
      <c r="I197" s="6" t="s">
        <v>761</v>
      </c>
      <c r="J197" s="6" t="s">
        <v>762</v>
      </c>
      <c r="K197" s="6" t="s">
        <v>88</v>
      </c>
      <c r="L197" s="6" t="s">
        <v>25</v>
      </c>
      <c r="M197" s="6" t="s">
        <v>196</v>
      </c>
      <c r="N197" s="6" t="s">
        <v>48</v>
      </c>
      <c r="O197" s="6" t="s">
        <v>64</v>
      </c>
      <c r="P197" s="6" t="s">
        <v>114</v>
      </c>
    </row>
    <row r="198" spans="1:16" ht="31" x14ac:dyDescent="0.35">
      <c r="A198" s="15">
        <f>DATE(2025,10,17)+TIME(5,17,52)</f>
        <v>45947.22074074074</v>
      </c>
      <c r="B198" s="8" t="s">
        <v>2</v>
      </c>
      <c r="C198" s="8" t="s">
        <v>763</v>
      </c>
      <c r="D198" s="8" t="s">
        <v>764</v>
      </c>
      <c r="E198" s="8" t="s">
        <v>765</v>
      </c>
      <c r="F198" s="8" t="s">
        <v>63</v>
      </c>
      <c r="G198" s="8" t="s">
        <v>11</v>
      </c>
      <c r="H198" s="8"/>
      <c r="I198" s="8"/>
      <c r="J198" s="8"/>
      <c r="K198" s="8" t="s">
        <v>88</v>
      </c>
      <c r="L198" s="8" t="s">
        <v>57</v>
      </c>
      <c r="M198" s="8" t="s">
        <v>47</v>
      </c>
      <c r="N198" s="8" t="s">
        <v>48</v>
      </c>
      <c r="O198" s="8" t="s">
        <v>38</v>
      </c>
      <c r="P198" s="8" t="s">
        <v>59</v>
      </c>
    </row>
    <row r="199" spans="1:16" ht="31" x14ac:dyDescent="0.35">
      <c r="A199" s="14">
        <f>DATE(2025,9,30)+TIME(16,48,27)</f>
        <v>45930.700312499997</v>
      </c>
      <c r="B199" s="6" t="s">
        <v>2</v>
      </c>
      <c r="C199" s="6" t="s">
        <v>766</v>
      </c>
      <c r="D199" s="6" t="s">
        <v>767</v>
      </c>
      <c r="E199" s="6" t="s">
        <v>768</v>
      </c>
      <c r="F199" s="6" t="s">
        <v>98</v>
      </c>
      <c r="G199" s="6" t="s">
        <v>12</v>
      </c>
      <c r="H199" s="6" t="s">
        <v>99</v>
      </c>
      <c r="I199" s="6" t="s">
        <v>104</v>
      </c>
      <c r="J199" s="6" t="s">
        <v>46</v>
      </c>
      <c r="K199" s="6" t="s">
        <v>88</v>
      </c>
      <c r="L199" s="6" t="s">
        <v>25</v>
      </c>
      <c r="M199" s="6" t="s">
        <v>47</v>
      </c>
      <c r="N199" s="6" t="s">
        <v>48</v>
      </c>
      <c r="O199" s="6" t="s">
        <v>58</v>
      </c>
      <c r="P199" s="6" t="s">
        <v>59</v>
      </c>
    </row>
    <row r="200" spans="1:16" ht="31" x14ac:dyDescent="0.35">
      <c r="A200" s="15">
        <f>DATE(2025,10,10)+TIME(18,27,15)</f>
        <v>45940.768923611111</v>
      </c>
      <c r="B200" s="8" t="s">
        <v>2</v>
      </c>
      <c r="C200" s="8" t="s">
        <v>769</v>
      </c>
      <c r="D200" s="8" t="s">
        <v>770</v>
      </c>
      <c r="E200" s="8" t="s">
        <v>771</v>
      </c>
      <c r="F200" s="8" t="s">
        <v>161</v>
      </c>
      <c r="G200" s="8" t="s">
        <v>12</v>
      </c>
      <c r="H200" s="8" t="s">
        <v>772</v>
      </c>
      <c r="I200" s="8" t="s">
        <v>104</v>
      </c>
      <c r="J200" s="8" t="s">
        <v>527</v>
      </c>
      <c r="K200" s="8" t="s">
        <v>24</v>
      </c>
      <c r="L200" s="8" t="s">
        <v>256</v>
      </c>
      <c r="M200" s="8"/>
      <c r="N200" s="8" t="s">
        <v>27</v>
      </c>
      <c r="O200" s="8" t="s">
        <v>58</v>
      </c>
      <c r="P200" s="8" t="s">
        <v>59</v>
      </c>
    </row>
    <row r="201" spans="1:16" ht="31" x14ac:dyDescent="0.35">
      <c r="A201" s="14">
        <f>DATE(2025,9,27)+TIME(7,12,31)</f>
        <v>45927.300358796296</v>
      </c>
      <c r="B201" s="6" t="s">
        <v>2</v>
      </c>
      <c r="C201" s="6" t="s">
        <v>590</v>
      </c>
      <c r="D201" s="6" t="s">
        <v>773</v>
      </c>
      <c r="E201" s="6" t="s">
        <v>774</v>
      </c>
      <c r="F201" s="6" t="s">
        <v>129</v>
      </c>
      <c r="G201" s="6" t="s">
        <v>12</v>
      </c>
      <c r="H201" s="6" t="s">
        <v>355</v>
      </c>
      <c r="I201" s="6" t="s">
        <v>775</v>
      </c>
      <c r="J201" s="6" t="s">
        <v>23</v>
      </c>
      <c r="K201" s="6" t="s">
        <v>88</v>
      </c>
      <c r="L201" s="6" t="s">
        <v>57</v>
      </c>
      <c r="M201" s="6" t="s">
        <v>196</v>
      </c>
      <c r="N201" s="6"/>
      <c r="O201" s="6" t="s">
        <v>38</v>
      </c>
      <c r="P201" s="6" t="s">
        <v>59</v>
      </c>
    </row>
    <row r="202" spans="1:16" ht="31" x14ac:dyDescent="0.35">
      <c r="A202" s="15">
        <f>DATE(2025,10,12)+TIME(10,54,34)</f>
        <v>45942.454560185186</v>
      </c>
      <c r="B202" s="8" t="s">
        <v>2</v>
      </c>
      <c r="C202" s="8" t="s">
        <v>776</v>
      </c>
      <c r="D202" s="8" t="s">
        <v>777</v>
      </c>
      <c r="E202" s="8" t="s">
        <v>778</v>
      </c>
      <c r="F202" s="8" t="s">
        <v>175</v>
      </c>
      <c r="G202" s="8" t="s">
        <v>12</v>
      </c>
      <c r="H202" s="8" t="s">
        <v>414</v>
      </c>
      <c r="I202" s="8" t="s">
        <v>125</v>
      </c>
      <c r="J202" s="8" t="s">
        <v>243</v>
      </c>
      <c r="K202" s="8" t="s">
        <v>47</v>
      </c>
      <c r="L202" s="8" t="s">
        <v>25</v>
      </c>
      <c r="M202" s="8" t="s">
        <v>26</v>
      </c>
      <c r="N202" s="8" t="s">
        <v>27</v>
      </c>
      <c r="O202" s="8" t="s">
        <v>64</v>
      </c>
      <c r="P202" s="8" t="s">
        <v>65</v>
      </c>
    </row>
    <row r="203" spans="1:16" ht="31" x14ac:dyDescent="0.35">
      <c r="A203" s="14">
        <f>DATE(2025,10,23)+TIME(17,14,28)</f>
        <v>45953.71837962963</v>
      </c>
      <c r="B203" s="6" t="s">
        <v>2</v>
      </c>
      <c r="C203" s="6" t="s">
        <v>779</v>
      </c>
      <c r="D203" s="6" t="s">
        <v>780</v>
      </c>
      <c r="E203" s="6" t="s">
        <v>781</v>
      </c>
      <c r="F203" s="6" t="s">
        <v>384</v>
      </c>
      <c r="G203" s="6" t="s">
        <v>9</v>
      </c>
      <c r="H203" s="6" t="s">
        <v>385</v>
      </c>
      <c r="I203" s="6" t="s">
        <v>45</v>
      </c>
      <c r="J203" s="6" t="s">
        <v>46</v>
      </c>
      <c r="K203" s="6"/>
      <c r="L203" s="6"/>
      <c r="M203" s="6"/>
      <c r="N203" s="6"/>
      <c r="O203" s="6"/>
      <c r="P203" s="6"/>
    </row>
    <row r="204" spans="1:16" ht="31" x14ac:dyDescent="0.35">
      <c r="A204" s="15">
        <f>DATE(2025,10,9)+TIME(18,20,35)</f>
        <v>45939.764293981483</v>
      </c>
      <c r="B204" s="8" t="s">
        <v>2</v>
      </c>
      <c r="C204" s="8" t="s">
        <v>206</v>
      </c>
      <c r="D204" s="8" t="s">
        <v>782</v>
      </c>
      <c r="E204" s="8" t="s">
        <v>783</v>
      </c>
      <c r="F204" s="8" t="s">
        <v>69</v>
      </c>
      <c r="G204" s="8" t="s">
        <v>12</v>
      </c>
      <c r="H204" s="8" t="s">
        <v>784</v>
      </c>
      <c r="I204" s="8" t="s">
        <v>125</v>
      </c>
      <c r="J204" s="8" t="s">
        <v>23</v>
      </c>
      <c r="K204" s="8" t="s">
        <v>88</v>
      </c>
      <c r="L204" s="8" t="s">
        <v>552</v>
      </c>
      <c r="M204" s="8" t="s">
        <v>26</v>
      </c>
      <c r="N204" s="8" t="s">
        <v>48</v>
      </c>
      <c r="O204" s="8" t="s">
        <v>58</v>
      </c>
      <c r="P204" s="8" t="s">
        <v>50</v>
      </c>
    </row>
    <row r="205" spans="1:16" ht="31" x14ac:dyDescent="0.35">
      <c r="A205" s="14">
        <f>DATE(2025,10,9)+TIME(13,11,32)</f>
        <v>45939.549675925926</v>
      </c>
      <c r="B205" s="6" t="s">
        <v>2</v>
      </c>
      <c r="C205" s="6" t="s">
        <v>785</v>
      </c>
      <c r="D205" s="6" t="s">
        <v>786</v>
      </c>
      <c r="E205" s="6" t="s">
        <v>787</v>
      </c>
      <c r="F205" s="6" t="s">
        <v>118</v>
      </c>
      <c r="G205" s="6" t="s">
        <v>14</v>
      </c>
      <c r="H205" s="6" t="s">
        <v>85</v>
      </c>
      <c r="I205" s="6" t="s">
        <v>788</v>
      </c>
      <c r="J205" s="6" t="s">
        <v>87</v>
      </c>
      <c r="K205" s="6" t="s">
        <v>24</v>
      </c>
      <c r="L205" s="6" t="s">
        <v>25</v>
      </c>
      <c r="M205" s="6" t="s">
        <v>430</v>
      </c>
      <c r="N205" s="6" t="s">
        <v>27</v>
      </c>
      <c r="O205" s="6" t="s">
        <v>64</v>
      </c>
      <c r="P205" s="6" t="s">
        <v>29</v>
      </c>
    </row>
    <row r="206" spans="1:16" ht="46.5" x14ac:dyDescent="0.35">
      <c r="A206" s="15">
        <f>DATE(2025,9,17)+TIME(11,26,35)</f>
        <v>45917.476793981485</v>
      </c>
      <c r="B206" s="8" t="s">
        <v>2</v>
      </c>
      <c r="C206" s="8" t="s">
        <v>789</v>
      </c>
      <c r="D206" s="8" t="s">
        <v>790</v>
      </c>
      <c r="E206" s="8" t="s">
        <v>791</v>
      </c>
      <c r="F206" s="8" t="s">
        <v>20</v>
      </c>
      <c r="G206" s="8" t="s">
        <v>12</v>
      </c>
      <c r="H206" s="8" t="s">
        <v>21</v>
      </c>
      <c r="I206" s="8" t="s">
        <v>71</v>
      </c>
      <c r="J206" s="8" t="s">
        <v>109</v>
      </c>
      <c r="K206" s="8" t="s">
        <v>24</v>
      </c>
      <c r="L206" s="8" t="s">
        <v>25</v>
      </c>
      <c r="M206" s="8" t="s">
        <v>26</v>
      </c>
      <c r="N206" s="8" t="s">
        <v>27</v>
      </c>
      <c r="O206" s="8" t="s">
        <v>28</v>
      </c>
      <c r="P206" s="8" t="s">
        <v>171</v>
      </c>
    </row>
    <row r="207" spans="1:16" ht="62" x14ac:dyDescent="0.35">
      <c r="A207" s="14">
        <f>DATE(2025,10,9)+TIME(11,30,8)</f>
        <v>45939.479259259257</v>
      </c>
      <c r="B207" s="6" t="s">
        <v>3</v>
      </c>
      <c r="C207" s="6" t="s">
        <v>792</v>
      </c>
      <c r="D207" s="6" t="s">
        <v>793</v>
      </c>
      <c r="E207" s="6" t="s">
        <v>794</v>
      </c>
      <c r="F207" s="6" t="s">
        <v>54</v>
      </c>
      <c r="G207" s="6" t="s">
        <v>9</v>
      </c>
      <c r="H207" s="6" t="s">
        <v>691</v>
      </c>
      <c r="I207" s="6" t="s">
        <v>45</v>
      </c>
      <c r="J207" s="6" t="s">
        <v>23</v>
      </c>
      <c r="K207" s="6" t="s">
        <v>24</v>
      </c>
      <c r="L207" s="6" t="s">
        <v>25</v>
      </c>
      <c r="M207" s="6"/>
      <c r="N207" s="6" t="s">
        <v>27</v>
      </c>
      <c r="O207" s="6" t="s">
        <v>49</v>
      </c>
      <c r="P207" s="6" t="s">
        <v>39</v>
      </c>
    </row>
    <row r="208" spans="1:16" ht="31" x14ac:dyDescent="0.35">
      <c r="A208" s="15">
        <f>DATE(2025,10,7)+TIME(18,41,47)</f>
        <v>45937.779016203705</v>
      </c>
      <c r="B208" s="8" t="s">
        <v>2</v>
      </c>
      <c r="C208" s="8" t="s">
        <v>795</v>
      </c>
      <c r="D208" s="8" t="s">
        <v>796</v>
      </c>
      <c r="E208" s="8" t="s">
        <v>797</v>
      </c>
      <c r="F208" s="8" t="s">
        <v>93</v>
      </c>
      <c r="G208" s="8" t="s">
        <v>13</v>
      </c>
      <c r="H208" s="8" t="s">
        <v>157</v>
      </c>
      <c r="I208" s="8" t="s">
        <v>45</v>
      </c>
      <c r="J208" s="8" t="s">
        <v>23</v>
      </c>
      <c r="K208" s="8" t="s">
        <v>24</v>
      </c>
      <c r="L208" s="8" t="s">
        <v>25</v>
      </c>
      <c r="M208" s="8" t="s">
        <v>26</v>
      </c>
      <c r="N208" s="8" t="s">
        <v>27</v>
      </c>
      <c r="O208" s="8" t="s">
        <v>49</v>
      </c>
      <c r="P208" s="8" t="s">
        <v>50</v>
      </c>
    </row>
    <row r="209" spans="1:16" ht="31" x14ac:dyDescent="0.35">
      <c r="A209" s="14">
        <f>DATE(2025,10,16)+TIME(18,23,48)</f>
        <v>45946.766527777778</v>
      </c>
      <c r="B209" s="6" t="s">
        <v>2</v>
      </c>
      <c r="C209" s="6" t="s">
        <v>798</v>
      </c>
      <c r="D209" s="6" t="s">
        <v>799</v>
      </c>
      <c r="E209" s="6" t="s">
        <v>800</v>
      </c>
      <c r="F209" s="6" t="s">
        <v>63</v>
      </c>
      <c r="G209" s="6" t="s">
        <v>11</v>
      </c>
      <c r="H209" s="6"/>
      <c r="I209" s="6"/>
      <c r="J209" s="6"/>
      <c r="K209" s="6" t="s">
        <v>24</v>
      </c>
      <c r="L209" s="6" t="s">
        <v>57</v>
      </c>
      <c r="M209" s="6" t="s">
        <v>26</v>
      </c>
      <c r="N209" s="6" t="s">
        <v>27</v>
      </c>
      <c r="O209" s="6" t="s">
        <v>64</v>
      </c>
      <c r="P209" s="6" t="s">
        <v>65</v>
      </c>
    </row>
    <row r="210" spans="1:16" ht="31" x14ac:dyDescent="0.35">
      <c r="A210" s="15">
        <f>DATE(2025,10,9)+TIME(12,42,40)</f>
        <v>45939.529629629629</v>
      </c>
      <c r="B210" s="8" t="s">
        <v>2</v>
      </c>
      <c r="C210" s="8" t="s">
        <v>801</v>
      </c>
      <c r="D210" s="8" t="s">
        <v>802</v>
      </c>
      <c r="E210" s="8" t="s">
        <v>803</v>
      </c>
      <c r="F210" s="8" t="s">
        <v>129</v>
      </c>
      <c r="G210" s="8" t="s">
        <v>10</v>
      </c>
      <c r="H210" s="8" t="s">
        <v>129</v>
      </c>
      <c r="I210" s="8" t="s">
        <v>804</v>
      </c>
      <c r="J210" s="8" t="s">
        <v>87</v>
      </c>
      <c r="K210" s="8" t="s">
        <v>24</v>
      </c>
      <c r="L210" s="8" t="s">
        <v>25</v>
      </c>
      <c r="M210" s="8" t="s">
        <v>26</v>
      </c>
      <c r="N210" s="8" t="s">
        <v>27</v>
      </c>
      <c r="O210" s="8" t="s">
        <v>64</v>
      </c>
      <c r="P210" s="8" t="s">
        <v>65</v>
      </c>
    </row>
    <row r="211" spans="1:16" ht="31" x14ac:dyDescent="0.35">
      <c r="A211" s="14">
        <f>DATE(2025,10,15)+TIME(20,50,36)</f>
        <v>45945.868472222224</v>
      </c>
      <c r="B211" s="6" t="s">
        <v>2</v>
      </c>
      <c r="C211" s="6" t="s">
        <v>805</v>
      </c>
      <c r="D211" s="6" t="s">
        <v>806</v>
      </c>
      <c r="E211" s="6" t="s">
        <v>807</v>
      </c>
      <c r="F211" s="6" t="s">
        <v>175</v>
      </c>
      <c r="G211" s="6" t="s">
        <v>12</v>
      </c>
      <c r="H211" s="6" t="s">
        <v>808</v>
      </c>
      <c r="I211" s="6" t="s">
        <v>809</v>
      </c>
      <c r="J211" s="6" t="s">
        <v>810</v>
      </c>
      <c r="K211" s="6" t="s">
        <v>24</v>
      </c>
      <c r="L211" s="6" t="s">
        <v>25</v>
      </c>
      <c r="M211" s="6" t="s">
        <v>26</v>
      </c>
      <c r="N211" s="6" t="s">
        <v>27</v>
      </c>
      <c r="O211" s="6" t="s">
        <v>64</v>
      </c>
      <c r="P211" s="6" t="s">
        <v>65</v>
      </c>
    </row>
    <row r="212" spans="1:16" ht="46.5" x14ac:dyDescent="0.35">
      <c r="A212" s="15">
        <f>DATE(2025,10,13)+TIME(12,53,41)</f>
        <v>45943.537280092591</v>
      </c>
      <c r="B212" s="8" t="s">
        <v>2</v>
      </c>
      <c r="C212" s="8" t="s">
        <v>811</v>
      </c>
      <c r="D212" s="8" t="s">
        <v>82</v>
      </c>
      <c r="E212" s="8" t="s">
        <v>812</v>
      </c>
      <c r="F212" s="8" t="s">
        <v>129</v>
      </c>
      <c r="G212" s="8" t="s">
        <v>9</v>
      </c>
      <c r="H212" s="8" t="s">
        <v>130</v>
      </c>
      <c r="I212" s="8" t="s">
        <v>45</v>
      </c>
      <c r="J212" s="8" t="s">
        <v>135</v>
      </c>
      <c r="K212" s="8" t="s">
        <v>24</v>
      </c>
      <c r="L212" s="8" t="s">
        <v>25</v>
      </c>
      <c r="M212" s="8"/>
      <c r="N212" s="8" t="s">
        <v>27</v>
      </c>
      <c r="O212" s="8" t="s">
        <v>49</v>
      </c>
      <c r="P212" s="8" t="s">
        <v>39</v>
      </c>
    </row>
    <row r="213" spans="1:16" ht="62" x14ac:dyDescent="0.35">
      <c r="A213" s="14">
        <f>DATE(2025,10,8)+TIME(23,35,38)</f>
        <v>45938.983078703706</v>
      </c>
      <c r="B213" s="6" t="s">
        <v>3</v>
      </c>
      <c r="C213" s="6" t="s">
        <v>813</v>
      </c>
      <c r="D213" s="6" t="s">
        <v>814</v>
      </c>
      <c r="E213" s="6" t="s">
        <v>815</v>
      </c>
      <c r="F213" s="6" t="s">
        <v>54</v>
      </c>
      <c r="G213" s="6" t="s">
        <v>9</v>
      </c>
      <c r="H213" s="6" t="s">
        <v>55</v>
      </c>
      <c r="I213" s="6" t="s">
        <v>45</v>
      </c>
      <c r="J213" s="6" t="s">
        <v>23</v>
      </c>
      <c r="K213" s="6" t="s">
        <v>24</v>
      </c>
      <c r="L213" s="6" t="s">
        <v>25</v>
      </c>
      <c r="M213" s="6" t="s">
        <v>47</v>
      </c>
      <c r="N213" s="6" t="s">
        <v>27</v>
      </c>
      <c r="O213" s="6" t="s">
        <v>49</v>
      </c>
      <c r="P213" s="6" t="s">
        <v>39</v>
      </c>
    </row>
    <row r="214" spans="1:16" ht="31" x14ac:dyDescent="0.35">
      <c r="A214" s="15">
        <f>DATE(2025,10,23)+TIME(13,47,45)</f>
        <v>45953.574826388889</v>
      </c>
      <c r="B214" s="8" t="s">
        <v>2</v>
      </c>
      <c r="C214" s="8" t="s">
        <v>816</v>
      </c>
      <c r="D214" s="8" t="s">
        <v>817</v>
      </c>
      <c r="E214" s="8" t="s">
        <v>818</v>
      </c>
      <c r="F214" s="8" t="s">
        <v>63</v>
      </c>
      <c r="G214" s="8" t="s">
        <v>11</v>
      </c>
      <c r="H214" s="8"/>
      <c r="I214" s="8"/>
      <c r="J214" s="8"/>
      <c r="K214" s="8" t="s">
        <v>88</v>
      </c>
      <c r="L214" s="8" t="s">
        <v>25</v>
      </c>
      <c r="M214" s="8" t="s">
        <v>143</v>
      </c>
      <c r="N214" s="8" t="s">
        <v>48</v>
      </c>
      <c r="O214" s="8" t="s">
        <v>58</v>
      </c>
      <c r="P214" s="8" t="s">
        <v>50</v>
      </c>
    </row>
    <row r="215" spans="1:16" ht="31" x14ac:dyDescent="0.35">
      <c r="A215" s="14">
        <f>DATE(2025,10,28)+TIME(9,55,56)</f>
        <v>45958.413842592592</v>
      </c>
      <c r="B215" s="6" t="s">
        <v>2</v>
      </c>
      <c r="C215" s="6" t="s">
        <v>612</v>
      </c>
      <c r="D215" s="6" t="s">
        <v>819</v>
      </c>
      <c r="E215" s="6" t="s">
        <v>820</v>
      </c>
      <c r="F215" s="6" t="s">
        <v>118</v>
      </c>
      <c r="G215" s="6" t="s">
        <v>15</v>
      </c>
      <c r="H215" s="6" t="s">
        <v>821</v>
      </c>
      <c r="I215" s="6"/>
      <c r="J215" s="6"/>
      <c r="K215" s="6"/>
      <c r="L215" s="6"/>
      <c r="M215" s="6"/>
      <c r="N215" s="6"/>
      <c r="O215" s="6"/>
      <c r="P215" s="6"/>
    </row>
    <row r="216" spans="1:16" ht="31" x14ac:dyDescent="0.35">
      <c r="A216" s="15">
        <f>DATE(2025,10,15)+TIME(15,5,34)</f>
        <v>45945.628865740742</v>
      </c>
      <c r="B216" s="8" t="s">
        <v>2</v>
      </c>
      <c r="C216" s="8" t="s">
        <v>822</v>
      </c>
      <c r="D216" s="8" t="s">
        <v>823</v>
      </c>
      <c r="E216" s="8" t="s">
        <v>824</v>
      </c>
      <c r="F216" s="8" t="s">
        <v>98</v>
      </c>
      <c r="G216" s="8" t="s">
        <v>12</v>
      </c>
      <c r="H216" s="8" t="s">
        <v>99</v>
      </c>
      <c r="I216" s="8" t="s">
        <v>71</v>
      </c>
      <c r="J216" s="8" t="s">
        <v>23</v>
      </c>
      <c r="K216" s="8" t="s">
        <v>24</v>
      </c>
      <c r="L216" s="8" t="s">
        <v>25</v>
      </c>
      <c r="M216" s="8" t="s">
        <v>26</v>
      </c>
      <c r="N216" s="8" t="s">
        <v>27</v>
      </c>
      <c r="O216" s="8" t="s">
        <v>28</v>
      </c>
      <c r="P216" s="8" t="s">
        <v>65</v>
      </c>
    </row>
    <row r="217" spans="1:16" ht="77.5" x14ac:dyDescent="0.35">
      <c r="A217" s="14">
        <f>DATE(2025,10,7)+TIME(10,29,33)</f>
        <v>45937.4371875</v>
      </c>
      <c r="B217" s="6" t="s">
        <v>2</v>
      </c>
      <c r="C217" s="6" t="s">
        <v>564</v>
      </c>
      <c r="D217" s="6" t="s">
        <v>825</v>
      </c>
      <c r="E217" s="6" t="s">
        <v>826</v>
      </c>
      <c r="F217" s="6" t="s">
        <v>392</v>
      </c>
      <c r="G217" s="6" t="s">
        <v>12</v>
      </c>
      <c r="H217" s="6" t="s">
        <v>393</v>
      </c>
      <c r="I217" s="6" t="s">
        <v>125</v>
      </c>
      <c r="J217" s="6" t="s">
        <v>827</v>
      </c>
      <c r="K217" s="6" t="s">
        <v>88</v>
      </c>
      <c r="L217" s="6" t="s">
        <v>57</v>
      </c>
      <c r="M217" s="6"/>
      <c r="N217" s="6" t="s">
        <v>48</v>
      </c>
      <c r="O217" s="6" t="s">
        <v>38</v>
      </c>
      <c r="P217" s="6" t="s">
        <v>59</v>
      </c>
    </row>
    <row r="218" spans="1:16" ht="46.5" x14ac:dyDescent="0.35">
      <c r="A218" s="15">
        <f>DATE(2025,10,13)+TIME(14,54,8)</f>
        <v>45943.620925925927</v>
      </c>
      <c r="B218" s="8" t="s">
        <v>2</v>
      </c>
      <c r="C218" s="8" t="s">
        <v>232</v>
      </c>
      <c r="D218" s="8" t="s">
        <v>828</v>
      </c>
      <c r="E218" s="8" t="s">
        <v>829</v>
      </c>
      <c r="F218" s="8" t="s">
        <v>129</v>
      </c>
      <c r="G218" s="8" t="s">
        <v>9</v>
      </c>
      <c r="H218" s="8" t="s">
        <v>130</v>
      </c>
      <c r="I218" s="8" t="s">
        <v>45</v>
      </c>
      <c r="J218" s="8" t="s">
        <v>135</v>
      </c>
      <c r="K218" s="8" t="s">
        <v>24</v>
      </c>
      <c r="L218" s="8" t="s">
        <v>25</v>
      </c>
      <c r="M218" s="8"/>
      <c r="N218" s="8" t="s">
        <v>27</v>
      </c>
      <c r="O218" s="8" t="s">
        <v>49</v>
      </c>
      <c r="P218" s="8" t="s">
        <v>39</v>
      </c>
    </row>
    <row r="219" spans="1:16" ht="31" x14ac:dyDescent="0.35">
      <c r="A219" s="14">
        <f>DATE(2025,10,3)+TIME(15,19,59)</f>
        <v>45933.638877314814</v>
      </c>
      <c r="B219" s="6" t="s">
        <v>2</v>
      </c>
      <c r="C219" s="6" t="s">
        <v>830</v>
      </c>
      <c r="D219" s="6" t="s">
        <v>831</v>
      </c>
      <c r="E219" s="6" t="s">
        <v>832</v>
      </c>
      <c r="F219" s="6" t="s">
        <v>69</v>
      </c>
      <c r="G219" s="6" t="s">
        <v>9</v>
      </c>
      <c r="H219" s="6" t="s">
        <v>70</v>
      </c>
      <c r="I219" s="6" t="s">
        <v>45</v>
      </c>
      <c r="J219" s="6" t="s">
        <v>23</v>
      </c>
      <c r="K219" s="6" t="s">
        <v>88</v>
      </c>
      <c r="L219" s="6" t="s">
        <v>25</v>
      </c>
      <c r="M219" s="6" t="s">
        <v>26</v>
      </c>
      <c r="N219" s="6" t="s">
        <v>48</v>
      </c>
      <c r="O219" s="6" t="s">
        <v>38</v>
      </c>
      <c r="P219" s="6" t="s">
        <v>50</v>
      </c>
    </row>
    <row r="220" spans="1:16" ht="62" x14ac:dyDescent="0.35">
      <c r="A220" s="15">
        <f>DATE(2025,10,9)+TIME(15,21,55)</f>
        <v>45939.640219907407</v>
      </c>
      <c r="B220" s="8" t="s">
        <v>3</v>
      </c>
      <c r="C220" s="8" t="s">
        <v>833</v>
      </c>
      <c r="D220" s="8" t="s">
        <v>834</v>
      </c>
      <c r="E220" s="8" t="s">
        <v>835</v>
      </c>
      <c r="F220" s="8" t="s">
        <v>20</v>
      </c>
      <c r="G220" s="8" t="s">
        <v>12</v>
      </c>
      <c r="H220" s="8" t="s">
        <v>20</v>
      </c>
      <c r="I220" s="8" t="s">
        <v>836</v>
      </c>
      <c r="J220" s="8" t="s">
        <v>837</v>
      </c>
      <c r="K220" s="8" t="s">
        <v>24</v>
      </c>
      <c r="L220" s="8" t="s">
        <v>25</v>
      </c>
      <c r="M220" s="8" t="s">
        <v>26</v>
      </c>
      <c r="N220" s="8" t="s">
        <v>27</v>
      </c>
      <c r="O220" s="8" t="s">
        <v>64</v>
      </c>
      <c r="P220" s="8" t="s">
        <v>59</v>
      </c>
    </row>
    <row r="221" spans="1:16" ht="62" x14ac:dyDescent="0.35">
      <c r="A221" s="14">
        <f>DATE(2025,9,26)+TIME(15,32,41)</f>
        <v>45926.647696759261</v>
      </c>
      <c r="B221" s="6" t="s">
        <v>3</v>
      </c>
      <c r="C221" s="6" t="s">
        <v>838</v>
      </c>
      <c r="D221" s="6" t="s">
        <v>202</v>
      </c>
      <c r="E221" s="6" t="s">
        <v>839</v>
      </c>
      <c r="F221" s="6" t="s">
        <v>93</v>
      </c>
      <c r="G221" s="6" t="s">
        <v>12</v>
      </c>
      <c r="H221" s="6" t="s">
        <v>840</v>
      </c>
      <c r="I221" s="6" t="s">
        <v>620</v>
      </c>
      <c r="J221" s="6" t="s">
        <v>841</v>
      </c>
      <c r="K221" s="6" t="s">
        <v>24</v>
      </c>
      <c r="L221" s="6" t="s">
        <v>25</v>
      </c>
      <c r="M221" s="6" t="s">
        <v>26</v>
      </c>
      <c r="N221" s="6" t="s">
        <v>27</v>
      </c>
      <c r="O221" s="6" t="s">
        <v>64</v>
      </c>
      <c r="P221" s="6" t="s">
        <v>29</v>
      </c>
    </row>
    <row r="222" spans="1:16" ht="46.5" x14ac:dyDescent="0.35">
      <c r="A222" s="15">
        <f>DATE(2025,9,26)+TIME(13,49,15)</f>
        <v>45926.575868055559</v>
      </c>
      <c r="B222" s="8" t="s">
        <v>2</v>
      </c>
      <c r="C222" s="8" t="s">
        <v>842</v>
      </c>
      <c r="D222" s="8" t="s">
        <v>843</v>
      </c>
      <c r="E222" s="8" t="s">
        <v>844</v>
      </c>
      <c r="F222" s="8" t="s">
        <v>98</v>
      </c>
      <c r="G222" s="8" t="s">
        <v>12</v>
      </c>
      <c r="H222" s="8" t="s">
        <v>845</v>
      </c>
      <c r="I222" s="8" t="s">
        <v>846</v>
      </c>
      <c r="J222" s="8" t="s">
        <v>847</v>
      </c>
      <c r="K222" s="8" t="s">
        <v>24</v>
      </c>
      <c r="L222" s="8" t="s">
        <v>57</v>
      </c>
      <c r="M222" s="8" t="s">
        <v>26</v>
      </c>
      <c r="N222" s="8" t="s">
        <v>27</v>
      </c>
      <c r="O222" s="8" t="s">
        <v>28</v>
      </c>
      <c r="P222" s="8" t="s">
        <v>29</v>
      </c>
    </row>
    <row r="223" spans="1:16" ht="62" x14ac:dyDescent="0.35">
      <c r="A223" s="14">
        <f>DATE(2025,9,27)+TIME(14,53,27)</f>
        <v>45927.620451388888</v>
      </c>
      <c r="B223" s="6" t="s">
        <v>3</v>
      </c>
      <c r="C223" s="6" t="s">
        <v>848</v>
      </c>
      <c r="D223" s="6" t="s">
        <v>849</v>
      </c>
      <c r="E223" s="6" t="s">
        <v>850</v>
      </c>
      <c r="F223" s="6" t="s">
        <v>75</v>
      </c>
      <c r="G223" s="6" t="s">
        <v>9</v>
      </c>
      <c r="H223" s="6" t="s">
        <v>80</v>
      </c>
      <c r="I223" s="6" t="s">
        <v>45</v>
      </c>
      <c r="J223" s="6" t="s">
        <v>23</v>
      </c>
      <c r="K223" s="6" t="s">
        <v>24</v>
      </c>
      <c r="L223" s="6" t="s">
        <v>25</v>
      </c>
      <c r="M223" s="6" t="s">
        <v>47</v>
      </c>
      <c r="N223" s="6" t="s">
        <v>27</v>
      </c>
      <c r="O223" s="6" t="s">
        <v>49</v>
      </c>
      <c r="P223" s="6" t="s">
        <v>50</v>
      </c>
    </row>
    <row r="224" spans="1:16" ht="31" x14ac:dyDescent="0.35">
      <c r="A224" s="15">
        <f>DATE(2025,10,15)+TIME(15,42,8)</f>
        <v>45945.65425925926</v>
      </c>
      <c r="B224" s="8" t="s">
        <v>2</v>
      </c>
      <c r="C224" s="8" t="s">
        <v>851</v>
      </c>
      <c r="D224" s="8" t="s">
        <v>596</v>
      </c>
      <c r="E224" s="8" t="s">
        <v>852</v>
      </c>
      <c r="F224" s="8" t="s">
        <v>98</v>
      </c>
      <c r="G224" s="8" t="s">
        <v>12</v>
      </c>
      <c r="H224" s="8" t="s">
        <v>99</v>
      </c>
      <c r="I224" s="8" t="s">
        <v>71</v>
      </c>
      <c r="J224" s="8" t="s">
        <v>23</v>
      </c>
      <c r="K224" s="8" t="s">
        <v>24</v>
      </c>
      <c r="L224" s="8" t="s">
        <v>25</v>
      </c>
      <c r="M224" s="8" t="s">
        <v>26</v>
      </c>
      <c r="N224" s="8" t="s">
        <v>27</v>
      </c>
      <c r="O224" s="8" t="s">
        <v>64</v>
      </c>
      <c r="P224" s="8" t="s">
        <v>29</v>
      </c>
    </row>
    <row r="225" spans="1:16" ht="62" x14ac:dyDescent="0.35">
      <c r="A225" s="14">
        <f>DATE(2025,10,16)+TIME(11,34,11)</f>
        <v>45946.482071759259</v>
      </c>
      <c r="B225" s="6" t="s">
        <v>3</v>
      </c>
      <c r="C225" s="6" t="s">
        <v>853</v>
      </c>
      <c r="D225" s="6" t="s">
        <v>854</v>
      </c>
      <c r="E225" s="6" t="s">
        <v>855</v>
      </c>
      <c r="F225" s="6" t="s">
        <v>33</v>
      </c>
      <c r="G225" s="6" t="s">
        <v>12</v>
      </c>
      <c r="H225" s="6" t="s">
        <v>856</v>
      </c>
      <c r="I225" s="6" t="s">
        <v>857</v>
      </c>
      <c r="J225" s="6" t="s">
        <v>858</v>
      </c>
      <c r="K225" s="6" t="s">
        <v>88</v>
      </c>
      <c r="L225" s="6" t="s">
        <v>57</v>
      </c>
      <c r="M225" s="6" t="s">
        <v>47</v>
      </c>
      <c r="N225" s="6" t="s">
        <v>48</v>
      </c>
      <c r="O225" s="6" t="s">
        <v>58</v>
      </c>
      <c r="P225" s="6" t="s">
        <v>59</v>
      </c>
    </row>
    <row r="226" spans="1:16" ht="62" x14ac:dyDescent="0.35">
      <c r="A226" s="15">
        <f>DATE(2025,9,22)+TIME(16,11,4)</f>
        <v>45922.674351851849</v>
      </c>
      <c r="B226" s="8" t="s">
        <v>3</v>
      </c>
      <c r="C226" s="8" t="s">
        <v>859</v>
      </c>
      <c r="D226" s="8" t="s">
        <v>860</v>
      </c>
      <c r="E226" s="8" t="s">
        <v>861</v>
      </c>
      <c r="F226" s="8" t="s">
        <v>84</v>
      </c>
      <c r="G226" s="8" t="s">
        <v>13</v>
      </c>
      <c r="H226" s="8" t="s">
        <v>862</v>
      </c>
      <c r="I226" s="8" t="s">
        <v>45</v>
      </c>
      <c r="J226" s="8" t="s">
        <v>135</v>
      </c>
      <c r="K226" s="8" t="s">
        <v>24</v>
      </c>
      <c r="L226" s="8" t="s">
        <v>25</v>
      </c>
      <c r="M226" s="8" t="s">
        <v>26</v>
      </c>
      <c r="N226" s="8" t="s">
        <v>27</v>
      </c>
      <c r="O226" s="8" t="s">
        <v>49</v>
      </c>
      <c r="P226" s="8" t="s">
        <v>50</v>
      </c>
    </row>
    <row r="227" spans="1:16" ht="46.5" x14ac:dyDescent="0.35">
      <c r="A227" s="14">
        <f>DATE(2025,9,24)+TIME(20,14,41)</f>
        <v>45924.843530092592</v>
      </c>
      <c r="B227" s="6" t="s">
        <v>2</v>
      </c>
      <c r="C227" s="6" t="s">
        <v>863</v>
      </c>
      <c r="D227" s="6" t="s">
        <v>864</v>
      </c>
      <c r="E227" s="6" t="s">
        <v>865</v>
      </c>
      <c r="F227" s="6" t="s">
        <v>69</v>
      </c>
      <c r="G227" s="6" t="s">
        <v>9</v>
      </c>
      <c r="H227" s="6" t="s">
        <v>575</v>
      </c>
      <c r="I227" s="6" t="s">
        <v>45</v>
      </c>
      <c r="J227" s="6" t="s">
        <v>109</v>
      </c>
      <c r="K227" s="6" t="s">
        <v>88</v>
      </c>
      <c r="L227" s="6" t="s">
        <v>25</v>
      </c>
      <c r="M227" s="6" t="s">
        <v>26</v>
      </c>
      <c r="N227" s="6" t="s">
        <v>48</v>
      </c>
      <c r="O227" s="6" t="s">
        <v>49</v>
      </c>
      <c r="P227" s="6" t="s">
        <v>50</v>
      </c>
    </row>
    <row r="228" spans="1:16" ht="31" x14ac:dyDescent="0.35">
      <c r="A228" s="15">
        <f>DATE(2025,10,23)+TIME(14,13,32)</f>
        <v>45953.592731481483</v>
      </c>
      <c r="B228" s="8" t="s">
        <v>2</v>
      </c>
      <c r="C228" s="8" t="s">
        <v>866</v>
      </c>
      <c r="D228" s="8" t="s">
        <v>867</v>
      </c>
      <c r="E228" s="8" t="s">
        <v>868</v>
      </c>
      <c r="F228" s="8" t="s">
        <v>63</v>
      </c>
      <c r="G228" s="8" t="s">
        <v>11</v>
      </c>
      <c r="H228" s="8"/>
      <c r="I228" s="8"/>
      <c r="J228" s="8"/>
      <c r="K228" s="8" t="s">
        <v>24</v>
      </c>
      <c r="L228" s="8" t="s">
        <v>57</v>
      </c>
      <c r="M228" s="8" t="s">
        <v>26</v>
      </c>
      <c r="N228" s="8" t="s">
        <v>27</v>
      </c>
      <c r="O228" s="8" t="s">
        <v>28</v>
      </c>
      <c r="P228" s="8"/>
    </row>
    <row r="229" spans="1:16" ht="31" x14ac:dyDescent="0.35">
      <c r="A229" s="14">
        <f>DATE(2025,10,3)+TIME(15,52,38)</f>
        <v>45933.661550925928</v>
      </c>
      <c r="B229" s="6" t="s">
        <v>2</v>
      </c>
      <c r="C229" s="6" t="s">
        <v>352</v>
      </c>
      <c r="D229" s="6" t="s">
        <v>869</v>
      </c>
      <c r="E229" s="6" t="s">
        <v>870</v>
      </c>
      <c r="F229" s="6" t="s">
        <v>69</v>
      </c>
      <c r="G229" s="6" t="s">
        <v>9</v>
      </c>
      <c r="H229" s="6" t="s">
        <v>70</v>
      </c>
      <c r="I229" s="6" t="s">
        <v>45</v>
      </c>
      <c r="J229" s="6" t="s">
        <v>23</v>
      </c>
      <c r="K229" s="6" t="s">
        <v>24</v>
      </c>
      <c r="L229" s="6" t="s">
        <v>25</v>
      </c>
      <c r="M229" s="6" t="s">
        <v>26</v>
      </c>
      <c r="N229" s="6" t="s">
        <v>27</v>
      </c>
      <c r="O229" s="6" t="s">
        <v>38</v>
      </c>
      <c r="P229" s="6" t="s">
        <v>50</v>
      </c>
    </row>
    <row r="230" spans="1:16" ht="15.5" x14ac:dyDescent="0.35">
      <c r="A230" s="15">
        <f>DATE(2025,10,16)+TIME(9,31,58)</f>
        <v>45946.397199074076</v>
      </c>
      <c r="B230" s="8" t="s">
        <v>2</v>
      </c>
      <c r="C230" s="8" t="s">
        <v>136</v>
      </c>
      <c r="D230" s="8" t="s">
        <v>871</v>
      </c>
      <c r="E230" s="8" t="s">
        <v>872</v>
      </c>
      <c r="F230" s="8" t="s">
        <v>742</v>
      </c>
      <c r="G230" s="8" t="s">
        <v>12</v>
      </c>
      <c r="H230" s="8" t="s">
        <v>331</v>
      </c>
      <c r="I230" s="8" t="s">
        <v>125</v>
      </c>
      <c r="J230" s="8" t="s">
        <v>46</v>
      </c>
      <c r="K230" s="8" t="s">
        <v>47</v>
      </c>
      <c r="L230" s="8" t="s">
        <v>25</v>
      </c>
      <c r="M230" s="8" t="s">
        <v>26</v>
      </c>
      <c r="N230" s="8" t="s">
        <v>48</v>
      </c>
      <c r="O230" s="8" t="s">
        <v>64</v>
      </c>
      <c r="P230" s="8" t="s">
        <v>171</v>
      </c>
    </row>
  </sheetData>
  <hyperlinks>
    <hyperlink ref="A1" location="'Event Information'!A1" display="Back to Table of Contents" xr:uid="{00000000-0004-0000-0300-000000000000}"/>
  </hyperlinks>
  <pageMargins left="0.75" right="0.75" top="1" bottom="1" header="0.5" footer="0.5"/>
  <pageSetup orientation="portrait"/>
  <headerFooter alignWithMargin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7"/>
  <sheetViews>
    <sheetView workbookViewId="0"/>
  </sheetViews>
  <sheetFormatPr defaultRowHeight="12.5" x14ac:dyDescent="0.25"/>
  <cols>
    <col min="1" max="1" width="39.1796875" bestFit="1" customWidth="1"/>
    <col min="2" max="2" width="22.81640625" bestFit="1" customWidth="1"/>
    <col min="5" max="5" width="39.1796875" bestFit="1" customWidth="1"/>
    <col min="6" max="6" width="22.81640625" bestFit="1" customWidth="1"/>
  </cols>
  <sheetData>
    <row r="1" spans="1:6" x14ac:dyDescent="0.25">
      <c r="A1" s="4" t="s">
        <v>0</v>
      </c>
    </row>
    <row r="4" spans="1:6" ht="23.5" x14ac:dyDescent="0.25">
      <c r="A4" s="13" t="s">
        <v>887</v>
      </c>
    </row>
    <row r="5" spans="1:6" ht="15.5" x14ac:dyDescent="0.35">
      <c r="A5" s="24" t="s">
        <v>877</v>
      </c>
      <c r="B5" s="12" t="s">
        <v>5</v>
      </c>
      <c r="E5" s="25" t="s">
        <v>877</v>
      </c>
      <c r="F5" s="26" t="s">
        <v>5</v>
      </c>
    </row>
    <row r="6" spans="1:6" ht="15.5" x14ac:dyDescent="0.35">
      <c r="A6" s="12" t="s">
        <v>98</v>
      </c>
      <c r="B6" s="7">
        <v>25</v>
      </c>
      <c r="E6" s="26" t="s">
        <v>98</v>
      </c>
      <c r="F6" s="26">
        <v>0.11061946902654868</v>
      </c>
    </row>
    <row r="7" spans="1:6" ht="15.5" x14ac:dyDescent="0.35">
      <c r="A7" s="12" t="s">
        <v>175</v>
      </c>
      <c r="B7" s="7">
        <v>16</v>
      </c>
      <c r="E7" s="26" t="s">
        <v>175</v>
      </c>
      <c r="F7" s="26">
        <v>7.0796460176991149E-2</v>
      </c>
    </row>
    <row r="8" spans="1:6" ht="15.5" x14ac:dyDescent="0.35">
      <c r="A8" s="12" t="s">
        <v>161</v>
      </c>
      <c r="B8" s="7">
        <v>8</v>
      </c>
      <c r="E8" s="26" t="s">
        <v>161</v>
      </c>
      <c r="F8" s="26">
        <v>3.5398230088495575E-2</v>
      </c>
    </row>
    <row r="9" spans="1:6" ht="15.5" x14ac:dyDescent="0.35">
      <c r="A9" s="12" t="s">
        <v>392</v>
      </c>
      <c r="B9" s="7">
        <v>3</v>
      </c>
      <c r="E9" s="26" t="s">
        <v>392</v>
      </c>
      <c r="F9" s="26">
        <v>1.3274336283185841E-2</v>
      </c>
    </row>
    <row r="10" spans="1:6" ht="15.5" x14ac:dyDescent="0.35">
      <c r="A10" s="12" t="s">
        <v>637</v>
      </c>
      <c r="B10" s="7">
        <v>1</v>
      </c>
      <c r="E10" s="26" t="s">
        <v>637</v>
      </c>
      <c r="F10" s="26">
        <v>4.4247787610619468E-3</v>
      </c>
    </row>
    <row r="11" spans="1:6" ht="15.5" x14ac:dyDescent="0.35">
      <c r="A11" s="12" t="s">
        <v>253</v>
      </c>
      <c r="B11" s="7">
        <v>11</v>
      </c>
      <c r="E11" s="26" t="s">
        <v>253</v>
      </c>
      <c r="F11" s="26">
        <v>4.8672566371681415E-2</v>
      </c>
    </row>
    <row r="12" spans="1:6" ht="15.5" x14ac:dyDescent="0.35">
      <c r="A12" s="12" t="s">
        <v>33</v>
      </c>
      <c r="B12" s="7">
        <v>13</v>
      </c>
      <c r="E12" s="26" t="s">
        <v>33</v>
      </c>
      <c r="F12" s="26">
        <v>5.7522123893805309E-2</v>
      </c>
    </row>
    <row r="13" spans="1:6" ht="15.5" x14ac:dyDescent="0.35">
      <c r="A13" s="12" t="s">
        <v>730</v>
      </c>
      <c r="B13" s="7">
        <v>1</v>
      </c>
      <c r="E13" s="26" t="s">
        <v>730</v>
      </c>
      <c r="F13" s="26">
        <v>4.4247787610619468E-3</v>
      </c>
    </row>
    <row r="14" spans="1:6" ht="15.5" x14ac:dyDescent="0.35">
      <c r="A14" s="12" t="s">
        <v>367</v>
      </c>
      <c r="B14" s="7">
        <v>3</v>
      </c>
      <c r="E14" s="26" t="s">
        <v>367</v>
      </c>
      <c r="F14" s="26">
        <v>1.3274336283185841E-2</v>
      </c>
    </row>
    <row r="15" spans="1:6" ht="15.5" x14ac:dyDescent="0.35">
      <c r="A15" s="12" t="s">
        <v>43</v>
      </c>
      <c r="B15" s="7">
        <v>6</v>
      </c>
      <c r="E15" s="26" t="s">
        <v>43</v>
      </c>
      <c r="F15" s="26">
        <v>2.6548672566371681E-2</v>
      </c>
    </row>
    <row r="16" spans="1:6" ht="15.5" x14ac:dyDescent="0.35">
      <c r="A16" s="12" t="s">
        <v>84</v>
      </c>
      <c r="B16" s="7">
        <v>8</v>
      </c>
      <c r="E16" s="26" t="s">
        <v>84</v>
      </c>
      <c r="F16" s="26">
        <v>3.5398230088495575E-2</v>
      </c>
    </row>
    <row r="17" spans="1:6" ht="15.5" x14ac:dyDescent="0.35">
      <c r="A17" s="12" t="s">
        <v>647</v>
      </c>
      <c r="B17" s="7">
        <v>1</v>
      </c>
      <c r="E17" s="26" t="s">
        <v>647</v>
      </c>
      <c r="F17" s="26">
        <v>4.4247787610619468E-3</v>
      </c>
    </row>
    <row r="18" spans="1:6" ht="15.5" x14ac:dyDescent="0.35">
      <c r="A18" s="12" t="s">
        <v>593</v>
      </c>
      <c r="B18" s="7">
        <v>1</v>
      </c>
      <c r="E18" s="26" t="s">
        <v>593</v>
      </c>
      <c r="F18" s="26">
        <v>4.4247787610619468E-3</v>
      </c>
    </row>
    <row r="19" spans="1:6" ht="15.5" x14ac:dyDescent="0.35">
      <c r="A19" s="12" t="s">
        <v>93</v>
      </c>
      <c r="B19" s="7">
        <v>10</v>
      </c>
      <c r="E19" s="26" t="s">
        <v>93</v>
      </c>
      <c r="F19" s="26">
        <v>4.4247787610619468E-2</v>
      </c>
    </row>
    <row r="20" spans="1:6" ht="15.5" x14ac:dyDescent="0.35">
      <c r="A20" s="12" t="s">
        <v>123</v>
      </c>
      <c r="B20" s="7">
        <v>7</v>
      </c>
      <c r="E20" s="26" t="s">
        <v>123</v>
      </c>
      <c r="F20" s="26">
        <v>3.0973451327433628E-2</v>
      </c>
    </row>
    <row r="21" spans="1:6" ht="15.5" x14ac:dyDescent="0.35">
      <c r="A21" s="12" t="s">
        <v>63</v>
      </c>
      <c r="B21" s="7">
        <v>29</v>
      </c>
      <c r="E21" s="26" t="s">
        <v>63</v>
      </c>
      <c r="F21" s="26">
        <v>0.12831858407079647</v>
      </c>
    </row>
    <row r="22" spans="1:6" ht="15.5" x14ac:dyDescent="0.35">
      <c r="A22" s="12" t="s">
        <v>327</v>
      </c>
      <c r="B22" s="7">
        <v>2</v>
      </c>
      <c r="E22" s="26" t="s">
        <v>327</v>
      </c>
      <c r="F22" s="26">
        <v>8.8495575221238937E-3</v>
      </c>
    </row>
    <row r="23" spans="1:6" ht="15.5" x14ac:dyDescent="0.35">
      <c r="A23" s="12" t="s">
        <v>118</v>
      </c>
      <c r="B23" s="7">
        <v>12</v>
      </c>
      <c r="E23" s="26" t="s">
        <v>118</v>
      </c>
      <c r="F23" s="26">
        <v>5.3097345132743362E-2</v>
      </c>
    </row>
    <row r="24" spans="1:6" ht="15.5" x14ac:dyDescent="0.35">
      <c r="A24" s="12" t="s">
        <v>75</v>
      </c>
      <c r="B24" s="7">
        <v>28</v>
      </c>
      <c r="E24" s="26" t="s">
        <v>75</v>
      </c>
      <c r="F24" s="26">
        <v>0.12389380530973451</v>
      </c>
    </row>
    <row r="25" spans="1:6" ht="15.5" x14ac:dyDescent="0.35">
      <c r="A25" s="12" t="s">
        <v>742</v>
      </c>
      <c r="B25" s="7">
        <v>2</v>
      </c>
      <c r="E25" s="26" t="s">
        <v>742</v>
      </c>
      <c r="F25" s="26">
        <v>8.8495575221238937E-3</v>
      </c>
    </row>
    <row r="26" spans="1:6" ht="15.5" x14ac:dyDescent="0.35">
      <c r="A26" s="12" t="s">
        <v>54</v>
      </c>
      <c r="B26" s="7">
        <v>7</v>
      </c>
      <c r="E26" s="26" t="s">
        <v>54</v>
      </c>
      <c r="F26" s="26">
        <v>3.0973451327433628E-2</v>
      </c>
    </row>
    <row r="27" spans="1:6" ht="15.5" x14ac:dyDescent="0.35">
      <c r="A27" s="12" t="s">
        <v>509</v>
      </c>
      <c r="B27" s="7">
        <v>1</v>
      </c>
      <c r="E27" s="26" t="s">
        <v>509</v>
      </c>
      <c r="F27" s="26">
        <v>4.4247787610619468E-3</v>
      </c>
    </row>
    <row r="28" spans="1:6" ht="15.5" x14ac:dyDescent="0.35">
      <c r="A28" s="12" t="s">
        <v>421</v>
      </c>
      <c r="B28" s="7">
        <v>2</v>
      </c>
      <c r="E28" s="26" t="s">
        <v>421</v>
      </c>
      <c r="F28" s="26">
        <v>8.8495575221238937E-3</v>
      </c>
    </row>
    <row r="29" spans="1:6" ht="15.5" x14ac:dyDescent="0.35">
      <c r="A29" s="12" t="s">
        <v>199</v>
      </c>
      <c r="B29" s="7">
        <v>4</v>
      </c>
      <c r="E29" s="26" t="s">
        <v>199</v>
      </c>
      <c r="F29" s="26">
        <v>1.7699115044247787E-2</v>
      </c>
    </row>
    <row r="30" spans="1:6" ht="15.5" x14ac:dyDescent="0.35">
      <c r="A30" s="12" t="s">
        <v>20</v>
      </c>
      <c r="B30" s="7">
        <v>8</v>
      </c>
      <c r="E30" s="26" t="s">
        <v>20</v>
      </c>
      <c r="F30" s="26">
        <v>3.5398230088495575E-2</v>
      </c>
    </row>
    <row r="31" spans="1:6" ht="15.5" x14ac:dyDescent="0.35">
      <c r="A31" s="12" t="s">
        <v>69</v>
      </c>
      <c r="B31" s="7">
        <v>13</v>
      </c>
      <c r="E31" s="26" t="s">
        <v>69</v>
      </c>
      <c r="F31" s="26">
        <v>5.7522123893805309E-2</v>
      </c>
    </row>
    <row r="32" spans="1:6" ht="15.5" x14ac:dyDescent="0.35">
      <c r="A32" s="12" t="s">
        <v>569</v>
      </c>
      <c r="B32" s="7">
        <v>1</v>
      </c>
      <c r="E32" s="26" t="s">
        <v>569</v>
      </c>
      <c r="F32" s="26">
        <v>4.4247787610619468E-3</v>
      </c>
    </row>
    <row r="33" spans="1:6" ht="15.5" x14ac:dyDescent="0.35">
      <c r="A33" s="12" t="s">
        <v>384</v>
      </c>
      <c r="B33" s="7">
        <v>3</v>
      </c>
      <c r="E33" s="26" t="s">
        <v>384</v>
      </c>
      <c r="F33" s="26">
        <v>1.3274336283185841E-2</v>
      </c>
    </row>
    <row r="34" spans="1:6" ht="15.5" x14ac:dyDescent="0.35">
      <c r="A34" s="12" t="s">
        <v>7</v>
      </c>
      <c r="B34" s="7">
        <v>226</v>
      </c>
      <c r="E34" s="26" t="s">
        <v>7</v>
      </c>
      <c r="F34" s="26">
        <v>1</v>
      </c>
    </row>
    <row r="37" spans="1:6" ht="23.5" x14ac:dyDescent="0.25">
      <c r="A37" s="11" t="s">
        <v>6</v>
      </c>
    </row>
    <row r="38" spans="1:6" ht="17" x14ac:dyDescent="0.25">
      <c r="A38" s="10" t="s">
        <v>877</v>
      </c>
      <c r="B38" s="10" t="s">
        <v>5</v>
      </c>
    </row>
    <row r="39" spans="1:6" ht="15.5" x14ac:dyDescent="0.35">
      <c r="A39" s="6" t="s">
        <v>98</v>
      </c>
      <c r="B39" s="7">
        <v>25</v>
      </c>
    </row>
    <row r="40" spans="1:6" ht="15.5" x14ac:dyDescent="0.35">
      <c r="A40" s="8" t="s">
        <v>175</v>
      </c>
      <c r="B40" s="9">
        <v>16</v>
      </c>
    </row>
    <row r="41" spans="1:6" ht="15.5" x14ac:dyDescent="0.35">
      <c r="A41" s="6" t="s">
        <v>161</v>
      </c>
      <c r="B41" s="7">
        <v>8</v>
      </c>
    </row>
    <row r="42" spans="1:6" ht="15.5" x14ac:dyDescent="0.35">
      <c r="A42" s="8" t="s">
        <v>392</v>
      </c>
      <c r="B42" s="9">
        <v>3</v>
      </c>
    </row>
    <row r="43" spans="1:6" ht="15.5" x14ac:dyDescent="0.35">
      <c r="A43" s="6" t="s">
        <v>637</v>
      </c>
      <c r="B43" s="7">
        <v>1</v>
      </c>
    </row>
    <row r="44" spans="1:6" ht="15.5" x14ac:dyDescent="0.35">
      <c r="A44" s="8" t="s">
        <v>253</v>
      </c>
      <c r="B44" s="9">
        <v>1</v>
      </c>
    </row>
    <row r="45" spans="1:6" ht="15.5" x14ac:dyDescent="0.35">
      <c r="A45" s="6" t="s">
        <v>129</v>
      </c>
      <c r="B45" s="7">
        <v>10</v>
      </c>
    </row>
    <row r="46" spans="1:6" ht="15.5" x14ac:dyDescent="0.35">
      <c r="A46" s="8" t="s">
        <v>33</v>
      </c>
      <c r="B46" s="9">
        <v>13</v>
      </c>
    </row>
    <row r="47" spans="1:6" ht="15.5" x14ac:dyDescent="0.35">
      <c r="A47" s="6" t="s">
        <v>730</v>
      </c>
      <c r="B47" s="7">
        <v>1</v>
      </c>
    </row>
    <row r="48" spans="1:6" ht="15.5" x14ac:dyDescent="0.35">
      <c r="A48" s="8" t="s">
        <v>367</v>
      </c>
      <c r="B48" s="9">
        <v>3</v>
      </c>
    </row>
    <row r="49" spans="1:2" ht="15.5" x14ac:dyDescent="0.35">
      <c r="A49" s="6" t="s">
        <v>43</v>
      </c>
      <c r="B49" s="7">
        <v>6</v>
      </c>
    </row>
    <row r="50" spans="1:2" ht="15.5" x14ac:dyDescent="0.35">
      <c r="A50" s="8" t="s">
        <v>84</v>
      </c>
      <c r="B50" s="9">
        <v>8</v>
      </c>
    </row>
    <row r="51" spans="1:2" ht="15.5" x14ac:dyDescent="0.35">
      <c r="A51" s="6" t="s">
        <v>647</v>
      </c>
      <c r="B51" s="7">
        <v>1</v>
      </c>
    </row>
    <row r="52" spans="1:2" ht="15.5" x14ac:dyDescent="0.35">
      <c r="A52" s="8" t="s">
        <v>593</v>
      </c>
      <c r="B52" s="9">
        <v>1</v>
      </c>
    </row>
    <row r="53" spans="1:2" ht="15.5" x14ac:dyDescent="0.35">
      <c r="A53" s="6" t="s">
        <v>93</v>
      </c>
      <c r="B53" s="7">
        <v>10</v>
      </c>
    </row>
    <row r="54" spans="1:2" ht="15.5" x14ac:dyDescent="0.35">
      <c r="A54" s="8" t="s">
        <v>123</v>
      </c>
      <c r="B54" s="9">
        <v>7</v>
      </c>
    </row>
    <row r="55" spans="1:2" ht="15.5" x14ac:dyDescent="0.35">
      <c r="A55" s="6" t="s">
        <v>63</v>
      </c>
      <c r="B55" s="7">
        <v>29</v>
      </c>
    </row>
    <row r="56" spans="1:2" ht="15.5" x14ac:dyDescent="0.35">
      <c r="A56" s="8" t="s">
        <v>327</v>
      </c>
      <c r="B56" s="9">
        <v>2</v>
      </c>
    </row>
    <row r="57" spans="1:2" ht="15.5" x14ac:dyDescent="0.35">
      <c r="A57" s="6" t="s">
        <v>118</v>
      </c>
      <c r="B57" s="7">
        <v>12</v>
      </c>
    </row>
    <row r="58" spans="1:2" ht="15.5" x14ac:dyDescent="0.35">
      <c r="A58" s="8" t="s">
        <v>75</v>
      </c>
      <c r="B58" s="9">
        <v>28</v>
      </c>
    </row>
    <row r="59" spans="1:2" ht="15.5" x14ac:dyDescent="0.35">
      <c r="A59" s="6" t="s">
        <v>742</v>
      </c>
      <c r="B59" s="7">
        <v>2</v>
      </c>
    </row>
    <row r="60" spans="1:2" ht="15.5" x14ac:dyDescent="0.35">
      <c r="A60" s="8" t="s">
        <v>54</v>
      </c>
      <c r="B60" s="9">
        <v>7</v>
      </c>
    </row>
    <row r="61" spans="1:2" ht="15.5" x14ac:dyDescent="0.35">
      <c r="A61" s="6" t="s">
        <v>509</v>
      </c>
      <c r="B61" s="7">
        <v>1</v>
      </c>
    </row>
    <row r="62" spans="1:2" ht="15.5" x14ac:dyDescent="0.35">
      <c r="A62" s="8" t="s">
        <v>421</v>
      </c>
      <c r="B62" s="9">
        <v>2</v>
      </c>
    </row>
    <row r="63" spans="1:2" ht="15.5" x14ac:dyDescent="0.35">
      <c r="A63" s="6" t="s">
        <v>199</v>
      </c>
      <c r="B63" s="7">
        <v>4</v>
      </c>
    </row>
    <row r="64" spans="1:2" ht="15.5" x14ac:dyDescent="0.35">
      <c r="A64" s="8" t="s">
        <v>20</v>
      </c>
      <c r="B64" s="9">
        <v>8</v>
      </c>
    </row>
    <row r="65" spans="1:2" ht="15.5" x14ac:dyDescent="0.35">
      <c r="A65" s="6" t="s">
        <v>69</v>
      </c>
      <c r="B65" s="7">
        <v>13</v>
      </c>
    </row>
    <row r="66" spans="1:2" ht="15.5" x14ac:dyDescent="0.35">
      <c r="A66" s="8" t="s">
        <v>569</v>
      </c>
      <c r="B66" s="9">
        <v>1</v>
      </c>
    </row>
    <row r="67" spans="1:2" ht="15.5" x14ac:dyDescent="0.35">
      <c r="A67" s="6" t="s">
        <v>384</v>
      </c>
      <c r="B67" s="7">
        <v>3</v>
      </c>
    </row>
  </sheetData>
  <hyperlinks>
    <hyperlink ref="A1" location="'Event Information'!A1" display="Back to Table of Contents" xr:uid="{00000000-0004-0000-0400-000000000000}"/>
  </hyperlinks>
  <pageMargins left="0.75" right="0.75" top="1" bottom="1" header="0.5" footer="0.5"/>
  <pageSetup orientation="portrait"/>
  <headerFooter alignWithMargins="0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7"/>
  <sheetViews>
    <sheetView workbookViewId="0"/>
  </sheetViews>
  <sheetFormatPr defaultRowHeight="12.5" x14ac:dyDescent="0.25"/>
  <cols>
    <col min="1" max="1" width="25.81640625" customWidth="1"/>
    <col min="2" max="2" width="27.81640625" customWidth="1"/>
  </cols>
  <sheetData>
    <row r="1" spans="1:1" x14ac:dyDescent="0.25">
      <c r="A1" s="4" t="s">
        <v>0</v>
      </c>
    </row>
    <row r="38" spans="1:2" ht="17" x14ac:dyDescent="0.25">
      <c r="A38" s="10" t="s">
        <v>897</v>
      </c>
      <c r="B38" s="10" t="s">
        <v>5</v>
      </c>
    </row>
    <row r="39" spans="1:2" ht="15.5" x14ac:dyDescent="0.35">
      <c r="A39" s="14" t="s">
        <v>888</v>
      </c>
      <c r="B39" s="7">
        <v>3</v>
      </c>
    </row>
    <row r="40" spans="1:2" ht="15.5" x14ac:dyDescent="0.35">
      <c r="A40" s="15" t="s">
        <v>889</v>
      </c>
      <c r="B40" s="9">
        <v>2</v>
      </c>
    </row>
    <row r="41" spans="1:2" ht="15.5" x14ac:dyDescent="0.35">
      <c r="A41" s="14" t="s">
        <v>890</v>
      </c>
      <c r="B41" s="7">
        <v>11</v>
      </c>
    </row>
    <row r="42" spans="1:2" ht="15.5" x14ac:dyDescent="0.35">
      <c r="A42" s="15" t="s">
        <v>891</v>
      </c>
      <c r="B42" s="9">
        <v>40</v>
      </c>
    </row>
    <row r="43" spans="1:2" ht="15.5" x14ac:dyDescent="0.35">
      <c r="A43" s="14" t="s">
        <v>892</v>
      </c>
      <c r="B43" s="7">
        <v>26</v>
      </c>
    </row>
    <row r="44" spans="1:2" ht="15.5" x14ac:dyDescent="0.35">
      <c r="A44" s="15" t="s">
        <v>893</v>
      </c>
      <c r="B44" s="9">
        <v>60</v>
      </c>
    </row>
    <row r="45" spans="1:2" ht="15.5" x14ac:dyDescent="0.35">
      <c r="A45" s="14" t="s">
        <v>894</v>
      </c>
      <c r="B45" s="7">
        <v>53</v>
      </c>
    </row>
    <row r="46" spans="1:2" ht="15.5" x14ac:dyDescent="0.35">
      <c r="A46" s="15" t="s">
        <v>895</v>
      </c>
      <c r="B46" s="9">
        <v>21</v>
      </c>
    </row>
    <row r="47" spans="1:2" ht="15.5" x14ac:dyDescent="0.35">
      <c r="A47" s="14" t="s">
        <v>896</v>
      </c>
      <c r="B47" s="7">
        <v>10</v>
      </c>
    </row>
  </sheetData>
  <hyperlinks>
    <hyperlink ref="A1" location="'Event Information'!A1" display="Back to Table of Contents" xr:uid="{00000000-0004-0000-0500-000000000000}"/>
  </hyperlinks>
  <pageMargins left="0.75" right="0.75" top="1" bottom="1" header="0.5" footer="0.5"/>
  <pageSetup orientation="portrait"/>
  <headerFooter alignWithMargins="0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a7daaf2c8a48c8108cca813082e0e1b0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b056339020b0569456dba6cd1046a762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  <Section xmlns="05627597-0322-42fc-bc19-1d0dde15c694" xsi:nil="true"/>
  </documentManagement>
</p:properties>
</file>

<file path=customXml/itemProps1.xml><?xml version="1.0" encoding="utf-8"?>
<ds:datastoreItem xmlns:ds="http://schemas.openxmlformats.org/officeDocument/2006/customXml" ds:itemID="{0A1CD796-4682-484B-9113-9B8C4B7A642D}"/>
</file>

<file path=customXml/itemProps2.xml><?xml version="1.0" encoding="utf-8"?>
<ds:datastoreItem xmlns:ds="http://schemas.openxmlformats.org/officeDocument/2006/customXml" ds:itemID="{41919AA5-827A-49B9-9E2D-2FBB520CCBD1}"/>
</file>

<file path=customXml/itemProps3.xml><?xml version="1.0" encoding="utf-8"?>
<ds:datastoreItem xmlns:ds="http://schemas.openxmlformats.org/officeDocument/2006/customXml" ds:itemID="{7656557A-2B79-4D93-A901-5F3D2D7BF8DB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Event Information</vt:lpstr>
      <vt:lpstr>HBCU Admission Item</vt:lpstr>
      <vt:lpstr>Registration Type</vt:lpstr>
      <vt:lpstr>Registrants - 2025 NEA HBCU Sum</vt:lpstr>
      <vt:lpstr>Registration By State</vt:lpstr>
      <vt:lpstr>Registration Trend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Medina, Karla [NEA]</dc:creator>
  <cp:keywords/>
  <dc:description/>
  <cp:lastModifiedBy>Medina, Karla [NEA]</cp:lastModifiedBy>
  <dcterms:created xsi:type="dcterms:W3CDTF">2025-10-31T15:47:40Z</dcterms:created>
  <dcterms:modified xsi:type="dcterms:W3CDTF">2025-10-31T15:47:40Z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0x0101004F15A52AE31FEC4EB9E74AAFCF7B6AD7</vt:lpwstr>
  </property>
</Properties>
</file>